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80" yWindow="0" windowWidth="28620" windowHeight="17320" tabRatio="499" activeTab="1"/>
  </bookViews>
  <sheets>
    <sheet name="Hinweise" sheetId="1" r:id="rId1"/>
    <sheet name="Projektsteckbrief" sheetId="2" r:id="rId2"/>
    <sheet name="Team" sheetId="3" r:id="rId3"/>
    <sheet name="Zielplan" sheetId="5" r:id="rId4"/>
    <sheet name="Stakeholderanalyse" sheetId="7" r:id="rId5"/>
    <sheet name="PSP" sheetId="10" r:id="rId6"/>
    <sheet name="Risikoanalyse" sheetId="8" r:id="rId7"/>
  </sheets>
  <definedNames>
    <definedName name="_xlnm.Print_Area" localSheetId="5">PSP!$A$1:$Y$81</definedName>
    <definedName name="_xlnm.Print_Area" localSheetId="6">Risikoanalyse!$A$1:$N$21</definedName>
    <definedName name="_xlnm.Print_Area" localSheetId="4">Stakeholderanalyse!$A$1:$N$26</definedName>
    <definedName name="_xlnm.Print_Area" localSheetId="3">Zielplan!$A$1:$K$39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Y23" i="7" l="1"/>
  <c r="X23" i="7"/>
  <c r="W23" i="7"/>
  <c r="V23" i="7"/>
  <c r="U23" i="7"/>
  <c r="T23" i="7"/>
  <c r="S23" i="7"/>
  <c r="R23" i="7"/>
  <c r="Q23" i="7"/>
  <c r="Y22" i="7"/>
  <c r="X22" i="7"/>
  <c r="W22" i="7"/>
  <c r="V22" i="7"/>
  <c r="U22" i="7"/>
  <c r="T22" i="7"/>
  <c r="S22" i="7"/>
  <c r="R22" i="7"/>
  <c r="Q22" i="7"/>
  <c r="Y21" i="7"/>
  <c r="X21" i="7"/>
  <c r="W21" i="7"/>
  <c r="V21" i="7"/>
  <c r="U21" i="7"/>
  <c r="T21" i="7"/>
  <c r="S21" i="7"/>
  <c r="R21" i="7"/>
  <c r="Q21" i="7"/>
  <c r="Y20" i="7"/>
  <c r="X20" i="7"/>
  <c r="W20" i="7"/>
  <c r="V20" i="7"/>
  <c r="U20" i="7"/>
  <c r="T20" i="7"/>
  <c r="S20" i="7"/>
  <c r="R20" i="7"/>
  <c r="Q20" i="7"/>
  <c r="Y19" i="7"/>
  <c r="X19" i="7"/>
  <c r="W19" i="7"/>
  <c r="V19" i="7"/>
  <c r="U19" i="7"/>
  <c r="T19" i="7"/>
  <c r="S19" i="7"/>
  <c r="R19" i="7"/>
  <c r="Q19" i="7"/>
  <c r="H3" i="10"/>
  <c r="F13" i="10"/>
  <c r="D13" i="10"/>
  <c r="B13" i="10"/>
  <c r="X11" i="10"/>
  <c r="V11" i="10"/>
  <c r="T11" i="10"/>
  <c r="R11" i="10"/>
  <c r="P11" i="10"/>
  <c r="N11" i="10"/>
  <c r="L11" i="10"/>
  <c r="J11" i="10"/>
  <c r="H11" i="10"/>
  <c r="F11" i="10"/>
  <c r="D11" i="10"/>
  <c r="B11" i="10"/>
  <c r="B5" i="10"/>
  <c r="P14" i="8"/>
  <c r="Y22" i="8"/>
  <c r="P13" i="8"/>
  <c r="X22" i="8"/>
  <c r="P12" i="8"/>
  <c r="W22" i="8"/>
  <c r="P11" i="8"/>
  <c r="V22" i="8"/>
  <c r="P10" i="8"/>
  <c r="U22" i="8"/>
  <c r="P9" i="8"/>
  <c r="T22" i="8"/>
  <c r="P8" i="8"/>
  <c r="S22" i="8"/>
  <c r="P7" i="8"/>
  <c r="R22" i="8"/>
  <c r="Q22" i="8"/>
  <c r="Y21" i="8"/>
  <c r="X21" i="8"/>
  <c r="W21" i="8"/>
  <c r="V21" i="8"/>
  <c r="U21" i="8"/>
  <c r="T21" i="8"/>
  <c r="S21" i="8"/>
  <c r="R21" i="8"/>
  <c r="Q21" i="8"/>
  <c r="Y20" i="8"/>
  <c r="X20" i="8"/>
  <c r="W20" i="8"/>
  <c r="V20" i="8"/>
  <c r="U20" i="8"/>
  <c r="T20" i="8"/>
  <c r="S20" i="8"/>
  <c r="R20" i="8"/>
  <c r="Q20" i="8"/>
  <c r="Y19" i="8"/>
  <c r="X19" i="8"/>
  <c r="W19" i="8"/>
  <c r="V19" i="8"/>
  <c r="U19" i="8"/>
  <c r="T19" i="8"/>
  <c r="S19" i="8"/>
  <c r="R19" i="8"/>
  <c r="Q19" i="8"/>
  <c r="Y18" i="8"/>
  <c r="X18" i="8"/>
  <c r="W18" i="8"/>
  <c r="V18" i="8"/>
  <c r="U18" i="8"/>
  <c r="T18" i="8"/>
  <c r="S18" i="8"/>
  <c r="R18" i="8"/>
  <c r="Q18" i="8"/>
  <c r="Y17" i="8"/>
  <c r="X17" i="8"/>
  <c r="W17" i="8"/>
  <c r="V17" i="8"/>
  <c r="U17" i="8"/>
  <c r="T17" i="8"/>
  <c r="S17" i="8"/>
  <c r="R17" i="8"/>
  <c r="Q17" i="8"/>
  <c r="Y16" i="8"/>
  <c r="X16" i="8"/>
  <c r="W16" i="8"/>
  <c r="V16" i="8"/>
  <c r="U16" i="8"/>
  <c r="T16" i="8"/>
  <c r="S16" i="8"/>
  <c r="R16" i="8"/>
  <c r="Q16" i="8"/>
  <c r="Y15" i="8"/>
  <c r="X15" i="8"/>
  <c r="W15" i="8"/>
  <c r="V15" i="8"/>
  <c r="U15" i="8"/>
  <c r="T15" i="8"/>
  <c r="S15" i="8"/>
  <c r="R15" i="8"/>
  <c r="Q15" i="8"/>
  <c r="Y14" i="8"/>
  <c r="X14" i="8"/>
  <c r="W14" i="8"/>
  <c r="V14" i="8"/>
  <c r="U14" i="8"/>
  <c r="T14" i="8"/>
  <c r="S14" i="8"/>
  <c r="R14" i="8"/>
  <c r="Q14" i="8"/>
  <c r="Y13" i="8"/>
  <c r="X13" i="8"/>
  <c r="W13" i="8"/>
  <c r="V13" i="8"/>
  <c r="U13" i="8"/>
  <c r="T13" i="8"/>
  <c r="S13" i="8"/>
  <c r="R13" i="8"/>
  <c r="Q13" i="8"/>
  <c r="Y12" i="8"/>
  <c r="X12" i="8"/>
  <c r="W12" i="8"/>
  <c r="V12" i="8"/>
  <c r="U12" i="8"/>
  <c r="T12" i="8"/>
  <c r="S12" i="8"/>
  <c r="R12" i="8"/>
  <c r="Q12" i="8"/>
  <c r="Y11" i="8"/>
  <c r="X11" i="8"/>
  <c r="W11" i="8"/>
  <c r="V11" i="8"/>
  <c r="U11" i="8"/>
  <c r="T11" i="8"/>
  <c r="S11" i="8"/>
  <c r="R11" i="8"/>
  <c r="Q11" i="8"/>
  <c r="Y10" i="8"/>
  <c r="X10" i="8"/>
  <c r="W10" i="8"/>
  <c r="V10" i="8"/>
  <c r="U10" i="8"/>
  <c r="T10" i="8"/>
  <c r="S10" i="8"/>
  <c r="R10" i="8"/>
  <c r="Q10" i="8"/>
  <c r="M10" i="8"/>
  <c r="L10" i="8"/>
  <c r="K10" i="8"/>
  <c r="J10" i="8"/>
  <c r="Y9" i="8"/>
  <c r="X9" i="8"/>
  <c r="W9" i="8"/>
  <c r="V9" i="8"/>
  <c r="U9" i="8"/>
  <c r="T9" i="8"/>
  <c r="S9" i="8"/>
  <c r="R9" i="8"/>
  <c r="Q9" i="8"/>
  <c r="M9" i="8"/>
  <c r="L9" i="8"/>
  <c r="K9" i="8"/>
  <c r="J9" i="8"/>
  <c r="Y8" i="8"/>
  <c r="X8" i="8"/>
  <c r="W8" i="8"/>
  <c r="V8" i="8"/>
  <c r="U8" i="8"/>
  <c r="T8" i="8"/>
  <c r="S8" i="8"/>
  <c r="R8" i="8"/>
  <c r="Q8" i="8"/>
  <c r="M8" i="8"/>
  <c r="L8" i="8"/>
  <c r="K8" i="8"/>
  <c r="J8" i="8"/>
  <c r="Y7" i="8"/>
  <c r="X7" i="8"/>
  <c r="W7" i="8"/>
  <c r="V7" i="8"/>
  <c r="U7" i="8"/>
  <c r="T7" i="8"/>
  <c r="S7" i="8"/>
  <c r="R7" i="8"/>
  <c r="Q7" i="8"/>
  <c r="M7" i="8"/>
  <c r="L7" i="8"/>
  <c r="K7" i="8"/>
  <c r="J7" i="8"/>
  <c r="K2" i="8"/>
  <c r="P14" i="7"/>
  <c r="Y27" i="7"/>
  <c r="P13" i="7"/>
  <c r="X27" i="7"/>
  <c r="P12" i="7"/>
  <c r="W27" i="7"/>
  <c r="P11" i="7"/>
  <c r="V27" i="7"/>
  <c r="P10" i="7"/>
  <c r="U27" i="7"/>
  <c r="P9" i="7"/>
  <c r="T27" i="7"/>
  <c r="P8" i="7"/>
  <c r="S27" i="7"/>
  <c r="P7" i="7"/>
  <c r="R27" i="7"/>
  <c r="Q27" i="7"/>
  <c r="Y26" i="7"/>
  <c r="X26" i="7"/>
  <c r="W26" i="7"/>
  <c r="V26" i="7"/>
  <c r="U26" i="7"/>
  <c r="T26" i="7"/>
  <c r="S26" i="7"/>
  <c r="R26" i="7"/>
  <c r="Q26" i="7"/>
  <c r="Y25" i="7"/>
  <c r="X25" i="7"/>
  <c r="W25" i="7"/>
  <c r="V25" i="7"/>
  <c r="U25" i="7"/>
  <c r="T25" i="7"/>
  <c r="S25" i="7"/>
  <c r="R25" i="7"/>
  <c r="Q25" i="7"/>
  <c r="Y24" i="7"/>
  <c r="X24" i="7"/>
  <c r="W24" i="7"/>
  <c r="V24" i="7"/>
  <c r="U24" i="7"/>
  <c r="T24" i="7"/>
  <c r="S24" i="7"/>
  <c r="R24" i="7"/>
  <c r="Q24" i="7"/>
  <c r="Y18" i="7"/>
  <c r="X18" i="7"/>
  <c r="W18" i="7"/>
  <c r="V18" i="7"/>
  <c r="U18" i="7"/>
  <c r="T18" i="7"/>
  <c r="S18" i="7"/>
  <c r="R18" i="7"/>
  <c r="Q18" i="7"/>
  <c r="Y17" i="7"/>
  <c r="X17" i="7"/>
  <c r="W17" i="7"/>
  <c r="V17" i="7"/>
  <c r="U17" i="7"/>
  <c r="T17" i="7"/>
  <c r="S17" i="7"/>
  <c r="R17" i="7"/>
  <c r="Q17" i="7"/>
  <c r="Y16" i="7"/>
  <c r="X16" i="7"/>
  <c r="W16" i="7"/>
  <c r="V16" i="7"/>
  <c r="U16" i="7"/>
  <c r="T16" i="7"/>
  <c r="S16" i="7"/>
  <c r="R16" i="7"/>
  <c r="Q16" i="7"/>
  <c r="Y15" i="7"/>
  <c r="X15" i="7"/>
  <c r="W15" i="7"/>
  <c r="V15" i="7"/>
  <c r="U15" i="7"/>
  <c r="T15" i="7"/>
  <c r="S15" i="7"/>
  <c r="R15" i="7"/>
  <c r="Q15" i="7"/>
  <c r="Y14" i="7"/>
  <c r="X14" i="7"/>
  <c r="W14" i="7"/>
  <c r="V14" i="7"/>
  <c r="U14" i="7"/>
  <c r="T14" i="7"/>
  <c r="S14" i="7"/>
  <c r="R14" i="7"/>
  <c r="Q14" i="7"/>
  <c r="Y13" i="7"/>
  <c r="X13" i="7"/>
  <c r="W13" i="7"/>
  <c r="V13" i="7"/>
  <c r="U13" i="7"/>
  <c r="T13" i="7"/>
  <c r="S13" i="7"/>
  <c r="R13" i="7"/>
  <c r="Q13" i="7"/>
  <c r="Y12" i="7"/>
  <c r="X12" i="7"/>
  <c r="W12" i="7"/>
  <c r="V12" i="7"/>
  <c r="U12" i="7"/>
  <c r="T12" i="7"/>
  <c r="S12" i="7"/>
  <c r="R12" i="7"/>
  <c r="Q12" i="7"/>
  <c r="Y11" i="7"/>
  <c r="X11" i="7"/>
  <c r="W11" i="7"/>
  <c r="V11" i="7"/>
  <c r="U11" i="7"/>
  <c r="T11" i="7"/>
  <c r="S11" i="7"/>
  <c r="R11" i="7"/>
  <c r="Q11" i="7"/>
  <c r="Y10" i="7"/>
  <c r="X10" i="7"/>
  <c r="W10" i="7"/>
  <c r="V10" i="7"/>
  <c r="U10" i="7"/>
  <c r="T10" i="7"/>
  <c r="S10" i="7"/>
  <c r="R10" i="7"/>
  <c r="Q10" i="7"/>
  <c r="M10" i="7"/>
  <c r="L10" i="7"/>
  <c r="K10" i="7"/>
  <c r="J10" i="7"/>
  <c r="Y9" i="7"/>
  <c r="X9" i="7"/>
  <c r="W9" i="7"/>
  <c r="V9" i="7"/>
  <c r="U9" i="7"/>
  <c r="T9" i="7"/>
  <c r="S9" i="7"/>
  <c r="R9" i="7"/>
  <c r="Q9" i="7"/>
  <c r="M9" i="7"/>
  <c r="L9" i="7"/>
  <c r="K9" i="7"/>
  <c r="J9" i="7"/>
  <c r="Y8" i="7"/>
  <c r="X8" i="7"/>
  <c r="W8" i="7"/>
  <c r="V8" i="7"/>
  <c r="U8" i="7"/>
  <c r="T8" i="7"/>
  <c r="S8" i="7"/>
  <c r="R8" i="7"/>
  <c r="Q8" i="7"/>
  <c r="M8" i="7"/>
  <c r="L8" i="7"/>
  <c r="K8" i="7"/>
  <c r="J8" i="7"/>
  <c r="Y7" i="7"/>
  <c r="X7" i="7"/>
  <c r="W7" i="7"/>
  <c r="V7" i="7"/>
  <c r="U7" i="7"/>
  <c r="T7" i="7"/>
  <c r="S7" i="7"/>
  <c r="R7" i="7"/>
  <c r="Q7" i="7"/>
  <c r="M7" i="7"/>
  <c r="L7" i="7"/>
  <c r="K7" i="7"/>
  <c r="J7" i="7"/>
  <c r="K2" i="7"/>
  <c r="F12" i="3"/>
  <c r="F5" i="3"/>
  <c r="B5" i="3"/>
  <c r="B5" i="5"/>
</calcChain>
</file>

<file path=xl/sharedStrings.xml><?xml version="1.0" encoding="utf-8"?>
<sst xmlns="http://schemas.openxmlformats.org/spreadsheetml/2006/main" count="447" uniqueCount="362">
  <si>
    <t>Firmenauswahl, Überwachung durch eigenen BL</t>
    <phoneticPr fontId="5" type="noConversion"/>
  </si>
  <si>
    <t>Planungssicherheit, EW anschließend sehr gering</t>
    <phoneticPr fontId="5" type="noConversion"/>
  </si>
  <si>
    <t>Qualitätssteigerung, EW anschließend sehr gering</t>
    <phoneticPr fontId="5" type="noConversion"/>
  </si>
  <si>
    <t>2.500,-</t>
    <phoneticPr fontId="5" type="noConversion"/>
  </si>
  <si>
    <t>Abschlagszahlungen, Vertragserfüllungsbürgschaft</t>
    <phoneticPr fontId="5" type="noConversion"/>
  </si>
  <si>
    <t>Begrenzung der Schadenshöhe auf sehr gering</t>
    <phoneticPr fontId="5" type="noConversion"/>
  </si>
  <si>
    <t>Risiken ermitteln</t>
  </si>
  <si>
    <t>Risiken analysieren u. bewerten (Ursachen/Auswirkungen)</t>
  </si>
  <si>
    <t>Portfolio erstellen</t>
  </si>
  <si>
    <t>Maßnahmen entwickeln, entscheiden (präventiv/korrektiv)</t>
  </si>
  <si>
    <t>Einsatzmittelplan, Kostenplan (noch nicht vorhanden)</t>
    <phoneticPr fontId="5" type="noConversion"/>
  </si>
  <si>
    <t>Risiko</t>
    <phoneticPr fontId="5" type="noConversion"/>
  </si>
  <si>
    <t>Beschreibung</t>
    <phoneticPr fontId="5" type="noConversion"/>
  </si>
  <si>
    <t>Ursache</t>
    <phoneticPr fontId="5" type="noConversion"/>
  </si>
  <si>
    <t>Auswirkung</t>
    <phoneticPr fontId="5" type="noConversion"/>
  </si>
  <si>
    <t>Risikoanalyse qualitativ V1.2</t>
    <phoneticPr fontId="5" type="noConversion"/>
  </si>
  <si>
    <t>Risikoportfolio</t>
    <phoneticPr fontId="5" type="noConversion"/>
  </si>
  <si>
    <t>senkrechte Achse: Eintrittswahrscheinlichkeit</t>
    <phoneticPr fontId="5" type="noConversion"/>
  </si>
  <si>
    <t>SH</t>
    <phoneticPr fontId="5" type="noConversion"/>
  </si>
  <si>
    <t>EW</t>
    <phoneticPr fontId="5" type="noConversion"/>
  </si>
  <si>
    <t>*) 1=sehr gering, 2=gering, 3=hoch, 4=sehr hoch</t>
    <phoneticPr fontId="5" type="noConversion"/>
  </si>
  <si>
    <t>1-4*</t>
    <phoneticPr fontId="5" type="noConversion"/>
  </si>
  <si>
    <t>Bodenplatte setzt sich (evtl. Risse)</t>
    <phoneticPr fontId="5" type="noConversion"/>
  </si>
  <si>
    <t>Boden ist nicht tragfähig genug</t>
    <phoneticPr fontId="5" type="noConversion"/>
  </si>
  <si>
    <t>Sanierung, Abfangmaßnahmen, Zeitverzug, Mehrkosten</t>
    <phoneticPr fontId="5" type="noConversion"/>
  </si>
  <si>
    <t xml:space="preserve">Schaden         </t>
    <phoneticPr fontId="5" type="noConversion"/>
  </si>
  <si>
    <t>*) 1=sehr gering, 2=gering, 3=hoch, 4=sehr hoch     SH=Schadenshöhe    EW=Eintrittswahrscheinlichkeit</t>
    <phoneticPr fontId="5" type="noConversion"/>
  </si>
  <si>
    <t>Projektstrukturplan</t>
    <phoneticPr fontId="5" type="noConversion"/>
  </si>
  <si>
    <t>Risikoanalyse</t>
    <phoneticPr fontId="5" type="noConversion"/>
  </si>
  <si>
    <t>Auftraggeber</t>
    <phoneticPr fontId="5" type="noConversion"/>
  </si>
  <si>
    <t>Für Erweiterungen oder Kürzungen (z.B. Anzahl der Arbeitspakete) müssen die Formeln angepasst werden.</t>
    <phoneticPr fontId="5" type="noConversion"/>
  </si>
  <si>
    <t xml:space="preserve">Diese Planung besteht aus den Tabellen/Formularen: </t>
    <phoneticPr fontId="5" type="noConversion"/>
  </si>
  <si>
    <r>
      <t xml:space="preserve">Kosten
</t>
    </r>
    <r>
      <rPr>
        <sz val="12"/>
        <color indexed="48"/>
        <rFont val="Verdana"/>
      </rPr>
      <t>Material und Personalkosten
Sonstige Kosten (z.B. Risikomaßnahmen)</t>
    </r>
    <phoneticPr fontId="5" type="noConversion"/>
  </si>
  <si>
    <r>
      <t xml:space="preserve">Hauptrisiken
</t>
    </r>
    <r>
      <rPr>
        <sz val="12"/>
        <color indexed="48"/>
        <rFont val="Verdana"/>
      </rPr>
      <t>Auflistung</t>
    </r>
    <phoneticPr fontId="5" type="noConversion"/>
  </si>
  <si>
    <t>bekannt</t>
    <phoneticPr fontId="5" type="noConversion"/>
  </si>
  <si>
    <t>vermutet</t>
    <phoneticPr fontId="5" type="noConversion"/>
  </si>
  <si>
    <t>1-4*</t>
    <phoneticPr fontId="5" type="noConversion"/>
  </si>
  <si>
    <t>Rohbaufirma</t>
    <phoneticPr fontId="5" type="noConversion"/>
  </si>
  <si>
    <t>Nachbar 1</t>
    <phoneticPr fontId="5" type="noConversion"/>
  </si>
  <si>
    <t>Nachbar 2</t>
    <phoneticPr fontId="5" type="noConversion"/>
  </si>
  <si>
    <t>Bauamt</t>
    <phoneticPr fontId="5" type="noConversion"/>
  </si>
  <si>
    <t>Architekt</t>
    <phoneticPr fontId="5" type="noConversion"/>
  </si>
  <si>
    <t>Nr.</t>
    <phoneticPr fontId="5" type="noConversion"/>
  </si>
  <si>
    <t>Stakeholder</t>
    <phoneticPr fontId="5" type="noConversion"/>
  </si>
  <si>
    <t>Interessen</t>
    <phoneticPr fontId="5" type="noConversion"/>
  </si>
  <si>
    <t>Konflikt</t>
    <phoneticPr fontId="5" type="noConversion"/>
  </si>
  <si>
    <t>Stakeholderanalyse</t>
    <phoneticPr fontId="5" type="noConversion"/>
  </si>
  <si>
    <t>Umfeldanalyse (noch nicht vorhanden)</t>
    <phoneticPr fontId="5" type="noConversion"/>
  </si>
  <si>
    <t>Phasenplan (noch nicht vorhanden)</t>
    <phoneticPr fontId="5" type="noConversion"/>
  </si>
  <si>
    <t>Terminplan (noch nicht vorhanden)</t>
    <phoneticPr fontId="5" type="noConversion"/>
  </si>
  <si>
    <t>K3</t>
    <phoneticPr fontId="5" type="noConversion"/>
  </si>
  <si>
    <t>T1</t>
    <phoneticPr fontId="5" type="noConversion"/>
  </si>
  <si>
    <t>T2</t>
    <phoneticPr fontId="5" type="noConversion"/>
  </si>
  <si>
    <t>T3</t>
    <phoneticPr fontId="5" type="noConversion"/>
  </si>
  <si>
    <t>kein Baulärm nach 19:00 Uhr</t>
    <phoneticPr fontId="5" type="noConversion"/>
  </si>
  <si>
    <t>S1</t>
    <phoneticPr fontId="5" type="noConversion"/>
  </si>
  <si>
    <t>S2</t>
    <phoneticPr fontId="5" type="noConversion"/>
  </si>
  <si>
    <t>Errichtung eines Gartenhauses</t>
    <phoneticPr fontId="5" type="noConversion"/>
  </si>
  <si>
    <t>Hausbau X</t>
    <phoneticPr fontId="5" type="noConversion"/>
  </si>
  <si>
    <t>EW und SH qualitativ einschätzen (1-4)</t>
    <phoneticPr fontId="5" type="noConversion"/>
  </si>
  <si>
    <t>Wirkung der Maßnahmen beschreiben</t>
    <phoneticPr fontId="5" type="noConversion"/>
  </si>
  <si>
    <t>Die Tabelle und das sich automatisch ausfüllende Portfolio sind auf 8 Risken begrenzt.</t>
    <phoneticPr fontId="5" type="noConversion"/>
  </si>
  <si>
    <t>Weitere Risiken können nur durch ändern der Formeln hinzu gefügt werden.</t>
    <phoneticPr fontId="5" type="noConversion"/>
  </si>
  <si>
    <t>Risiko</t>
    <phoneticPr fontId="5" type="noConversion"/>
  </si>
  <si>
    <t>Schäden durch Regenwasser, Sanierung, Zeitverzug, Mehrkosten, Rechtsstreit</t>
    <phoneticPr fontId="5" type="noConversion"/>
  </si>
  <si>
    <t>Rohbaufirma geht in Insolvenz</t>
    <phoneticPr fontId="5" type="noConversion"/>
  </si>
  <si>
    <t>Wirtschaftslage</t>
    <phoneticPr fontId="5" type="noConversion"/>
  </si>
  <si>
    <t>Zeitverzug, Mehrkosten</t>
    <phoneticPr fontId="5" type="noConversion"/>
  </si>
  <si>
    <t>Diebstahl von eigenem Baumaterial</t>
    <phoneticPr fontId="5" type="noConversion"/>
  </si>
  <si>
    <t>Umfeld</t>
    <phoneticPr fontId="5" type="noConversion"/>
  </si>
  <si>
    <t>Mehrkosten, Zeitverzug</t>
    <phoneticPr fontId="5" type="noConversion"/>
  </si>
  <si>
    <t>Wirkung der Maßnahme</t>
    <phoneticPr fontId="5" type="noConversion"/>
  </si>
  <si>
    <t>Euro</t>
    <phoneticPr fontId="5" type="noConversion"/>
  </si>
  <si>
    <t>Bodengrundgutachten, 2 Bohrungen</t>
    <phoneticPr fontId="5" type="noConversion"/>
  </si>
  <si>
    <t>1.500,-</t>
    <phoneticPr fontId="5" type="noConversion"/>
  </si>
  <si>
    <t>"will Abstand zum Haus"</t>
    <phoneticPr fontId="5" type="noConversion"/>
  </si>
  <si>
    <t>Konflikt wg. Baugrenzen vorprogrammiert (kennt Bürgermeister)</t>
    <phoneticPr fontId="5" type="noConversion"/>
  </si>
  <si>
    <t>regelmäßiges Meeting (zweiwöchentlich)</t>
    <phoneticPr fontId="5" type="noConversion"/>
  </si>
  <si>
    <t>insgesamt ca. 2.000,-</t>
    <phoneticPr fontId="5" type="noConversion"/>
  </si>
  <si>
    <t>gemeinsame Abstimmung wegen Baugrenzen</t>
    <phoneticPr fontId="5" type="noConversion"/>
  </si>
  <si>
    <t>1, 5, 7 und Einbeziehung 4, wenn notwendig (schriftlich fixieren)</t>
    <phoneticPr fontId="5" type="noConversion"/>
  </si>
  <si>
    <t>ca. 250,-</t>
    <phoneticPr fontId="5" type="noConversion"/>
  </si>
  <si>
    <t>Ziele des AG / Kunden erfragen (Lastenheft/Pflichtenheft)</t>
  </si>
  <si>
    <t>Ziele des Teams erfragen</t>
  </si>
  <si>
    <t>Zielhierarchie bilden</t>
  </si>
  <si>
    <t>Unterziele beschreiben</t>
  </si>
  <si>
    <t>Prioritäten festlegen</t>
  </si>
  <si>
    <t>Vorgehen:</t>
    <phoneticPr fontId="5" type="noConversion"/>
  </si>
  <si>
    <t>Prioritäten:</t>
    <phoneticPr fontId="5" type="noConversion"/>
  </si>
  <si>
    <t>MUSS</t>
    <phoneticPr fontId="5" type="noConversion"/>
  </si>
  <si>
    <t>SOLL</t>
    <phoneticPr fontId="5" type="noConversion"/>
  </si>
  <si>
    <t>KANN</t>
    <phoneticPr fontId="5" type="noConversion"/>
  </si>
  <si>
    <t>Projektsteckbrief</t>
    <phoneticPr fontId="5" type="noConversion"/>
  </si>
  <si>
    <t>Name</t>
  </si>
  <si>
    <t>Tel.</t>
  </si>
  <si>
    <t>Tel.</t>
    <phoneticPr fontId="5" type="noConversion"/>
  </si>
  <si>
    <t>Funktion</t>
  </si>
  <si>
    <t>Funktion</t>
    <phoneticPr fontId="5" type="noConversion"/>
  </si>
  <si>
    <t>Tel.</t>
    <phoneticPr fontId="5" type="noConversion"/>
  </si>
  <si>
    <t>Projektmitarbeiter</t>
  </si>
  <si>
    <t>1, 5, 6 und bei Bedarf 3 (vorab einbeziehen)</t>
    <phoneticPr fontId="5" type="noConversion"/>
  </si>
  <si>
    <t>Einfluss</t>
    <phoneticPr fontId="5" type="noConversion"/>
  </si>
  <si>
    <t xml:space="preserve">Einfluss         </t>
    <phoneticPr fontId="5" type="noConversion"/>
  </si>
  <si>
    <t>Portfolio</t>
    <phoneticPr fontId="5" type="noConversion"/>
  </si>
  <si>
    <t>"Schönste Haus"</t>
    <phoneticPr fontId="5" type="noConversion"/>
  </si>
  <si>
    <t>Hilfstabelle (nicht löschen!)</t>
    <phoneticPr fontId="5" type="noConversion"/>
  </si>
  <si>
    <t>Feld</t>
    <phoneticPr fontId="5" type="noConversion"/>
  </si>
  <si>
    <t>Stakeholder</t>
    <phoneticPr fontId="5" type="noConversion"/>
  </si>
  <si>
    <t>Regenschaden (Wassereintritt durch das Dach)</t>
    <phoneticPr fontId="5" type="noConversion"/>
  </si>
  <si>
    <t>Dachhaut nicht vorschriftsmäßig verlegt</t>
    <phoneticPr fontId="5" type="noConversion"/>
  </si>
  <si>
    <t>Projektmitarbeiter</t>
    <phoneticPr fontId="5" type="noConversion"/>
  </si>
  <si>
    <t>Projektname</t>
    <phoneticPr fontId="5" type="noConversion"/>
  </si>
  <si>
    <t>Stand</t>
    <phoneticPr fontId="5" type="noConversion"/>
  </si>
  <si>
    <t>Version</t>
    <phoneticPr fontId="5" type="noConversion"/>
  </si>
  <si>
    <t>Teamaufstellung</t>
    <phoneticPr fontId="5" type="noConversion"/>
  </si>
  <si>
    <t>Oberziel</t>
    <phoneticPr fontId="5" type="noConversion"/>
  </si>
  <si>
    <t>Leistungsziele</t>
    <phoneticPr fontId="5" type="noConversion"/>
  </si>
  <si>
    <t>Kostenziele</t>
    <phoneticPr fontId="5" type="noConversion"/>
  </si>
  <si>
    <t>Terminziele</t>
    <phoneticPr fontId="5" type="noConversion"/>
  </si>
  <si>
    <t>Nichtziele</t>
    <phoneticPr fontId="5" type="noConversion"/>
  </si>
  <si>
    <t>N1</t>
    <phoneticPr fontId="5" type="noConversion"/>
  </si>
  <si>
    <t>N2</t>
    <phoneticPr fontId="5" type="noConversion"/>
  </si>
  <si>
    <t>N3</t>
    <phoneticPr fontId="5" type="noConversion"/>
  </si>
  <si>
    <t>Projektname</t>
    <phoneticPr fontId="5" type="noConversion"/>
  </si>
  <si>
    <t>Eine Weitergabe der Datei ist nur mit Freigabe und Nennung des Erstellers erlaubt: copyright Thomas Sadewasser</t>
    <phoneticPr fontId="5" type="noConversion"/>
  </si>
  <si>
    <t xml:space="preserve">Weitere Infos unter: </t>
    <phoneticPr fontId="5" type="noConversion"/>
  </si>
  <si>
    <t>http://pmlern.vesab.de/</t>
  </si>
  <si>
    <t>Hinweise:</t>
    <phoneticPr fontId="5" type="noConversion"/>
  </si>
  <si>
    <t>Projektsteckbrief</t>
    <phoneticPr fontId="5" type="noConversion"/>
  </si>
  <si>
    <t>Logo</t>
    <phoneticPr fontId="5" type="noConversion"/>
  </si>
  <si>
    <t>"so eine Küche braucht man"</t>
    <phoneticPr fontId="5" type="noConversion"/>
  </si>
  <si>
    <t>Maximalerlös</t>
    <phoneticPr fontId="5" type="noConversion"/>
  </si>
  <si>
    <t>Die Tabelle und das sich automatisch ausfüllende Portfolio sind auf 8 Stakeholder begrenzt.</t>
    <phoneticPr fontId="5" type="noConversion"/>
  </si>
  <si>
    <t>Weitere Stakeholder können nur durch ändern der Formeln hinzu gefügt werden.</t>
    <phoneticPr fontId="5" type="noConversion"/>
  </si>
  <si>
    <t>Hinweis:</t>
    <phoneticPr fontId="5" type="noConversion"/>
  </si>
  <si>
    <t>wenig Arbeit, viel Geld</t>
    <phoneticPr fontId="5" type="noConversion"/>
  </si>
  <si>
    <t>"kein Problem"</t>
    <phoneticPr fontId="5" type="noConversion"/>
  </si>
  <si>
    <t>mag keine Hunde</t>
    <phoneticPr fontId="5" type="noConversion"/>
  </si>
  <si>
    <t>Sichtachse wird verbaut, arbeitet im Bauamt</t>
    <phoneticPr fontId="5" type="noConversion"/>
  </si>
  <si>
    <t>"Vorschriften einhalten"</t>
    <phoneticPr fontId="5" type="noConversion"/>
  </si>
  <si>
    <t>möglichst wenig Arbeit, Dienst nach Vorschrift</t>
    <phoneticPr fontId="5" type="noConversion"/>
  </si>
  <si>
    <t>will seine bisherigen Planungen verkaufen, wenig Arbeit</t>
    <phoneticPr fontId="5" type="noConversion"/>
  </si>
  <si>
    <r>
      <t xml:space="preserve">Schlüsselressourcen
</t>
    </r>
    <r>
      <rPr>
        <sz val="12"/>
        <color indexed="48"/>
        <rFont val="Verdana"/>
      </rPr>
      <t>Auflistung der Ressourcen</t>
    </r>
    <phoneticPr fontId="5" type="noConversion"/>
  </si>
  <si>
    <r>
      <t xml:space="preserve">Aufwand
</t>
    </r>
    <r>
      <rPr>
        <sz val="12"/>
        <color indexed="48"/>
        <rFont val="Verdana"/>
      </rPr>
      <t>Angabe in Ph, PT</t>
    </r>
    <phoneticPr fontId="5" type="noConversion"/>
  </si>
  <si>
    <t>"wir sind die besten und preiswert"</t>
    <phoneticPr fontId="5" type="noConversion"/>
  </si>
  <si>
    <t>"bitte kein Lärm"</t>
    <phoneticPr fontId="5" type="noConversion"/>
  </si>
  <si>
    <t>L1</t>
    <phoneticPr fontId="5" type="noConversion"/>
  </si>
  <si>
    <t>Raumhöhe mindestens 2,80 m</t>
    <phoneticPr fontId="5" type="noConversion"/>
  </si>
  <si>
    <t>L2</t>
    <phoneticPr fontId="5" type="noConversion"/>
  </si>
  <si>
    <t>L3</t>
    <phoneticPr fontId="5" type="noConversion"/>
  </si>
  <si>
    <t>Wohnfläche muss mindestens 165 m2 betragen</t>
    <phoneticPr fontId="5" type="noConversion"/>
  </si>
  <si>
    <t>maximal 2 Etagen</t>
    <phoneticPr fontId="5" type="noConversion"/>
  </si>
  <si>
    <t>Die Gesamtkosten dürfen 350.000 Euro nicht übersteigen.</t>
    <phoneticPr fontId="5" type="noConversion"/>
  </si>
  <si>
    <t>K1</t>
    <phoneticPr fontId="5" type="noConversion"/>
  </si>
  <si>
    <t>Kosten für Inneneinrichtung max. 85.000 Euro</t>
    <phoneticPr fontId="5" type="noConversion"/>
  </si>
  <si>
    <t>K2</t>
    <phoneticPr fontId="5" type="noConversion"/>
  </si>
  <si>
    <t>Kosten für Garage/Garten max. 35.000 Euro</t>
    <phoneticPr fontId="5" type="noConversion"/>
  </si>
  <si>
    <t>Hausbau 2015 
Familie Könner</t>
    <phoneticPr fontId="5" type="noConversion"/>
  </si>
  <si>
    <r>
      <t xml:space="preserve">Kurzbeschreibung
</t>
    </r>
    <r>
      <rPr>
        <sz val="12"/>
        <color indexed="48"/>
        <rFont val="Verdana"/>
      </rPr>
      <t>Beschreibung des Projektes</t>
    </r>
    <phoneticPr fontId="5" type="noConversion"/>
  </si>
  <si>
    <r>
      <t xml:space="preserve">Projektergebnisse (Ziele)/Lieferobjekte
</t>
    </r>
    <r>
      <rPr>
        <sz val="12"/>
        <color indexed="48"/>
        <rFont val="Verdana"/>
      </rPr>
      <t>Was wird geliefert?</t>
    </r>
    <phoneticPr fontId="5" type="noConversion"/>
  </si>
  <si>
    <r>
      <t xml:space="preserve">Ende  </t>
    </r>
    <r>
      <rPr>
        <sz val="12"/>
        <color indexed="48"/>
        <rFont val="Verdana"/>
      </rPr>
      <t>Termin</t>
    </r>
    <phoneticPr fontId="5" type="noConversion"/>
  </si>
  <si>
    <r>
      <t xml:space="preserve">Start </t>
    </r>
    <r>
      <rPr>
        <sz val="12"/>
        <color indexed="48"/>
        <rFont val="Verdana"/>
      </rPr>
      <t>Termin</t>
    </r>
    <phoneticPr fontId="5" type="noConversion"/>
  </si>
  <si>
    <t>Projektleiter</t>
    <phoneticPr fontId="5" type="noConversion"/>
  </si>
  <si>
    <t>Auftraggeber</t>
    <phoneticPr fontId="5" type="noConversion"/>
  </si>
  <si>
    <t>Projekt-Nr.</t>
    <phoneticPr fontId="5" type="noConversion"/>
  </si>
  <si>
    <t>Dr. Eduard Chef</t>
    <phoneticPr fontId="5" type="noConversion"/>
  </si>
  <si>
    <t>XAZ.12</t>
    <phoneticPr fontId="5" type="noConversion"/>
  </si>
  <si>
    <t>Alle grau hinterlegten Felder werden automatisch befüllt und sollten nicht überschrieben werden.</t>
    <phoneticPr fontId="5" type="noConversion"/>
  </si>
  <si>
    <t>Alle blauen Eintragungen sind Beispiele.</t>
  </si>
  <si>
    <t>Karl Könner</t>
    <phoneticPr fontId="5" type="noConversion"/>
  </si>
  <si>
    <t>Zielplanung</t>
    <phoneticPr fontId="5" type="noConversion"/>
  </si>
  <si>
    <t>Auftrag analysieren</t>
  </si>
  <si>
    <t>senkrechte Achse: Konfliktpotenzial</t>
    <phoneticPr fontId="5" type="noConversion"/>
  </si>
  <si>
    <t>Baunachbar</t>
    <phoneticPr fontId="5" type="noConversion"/>
  </si>
  <si>
    <t>XAZ.12.1.4</t>
    <phoneticPr fontId="5" type="noConversion"/>
  </si>
  <si>
    <t>XAZ.12.1.5</t>
    <phoneticPr fontId="5" type="noConversion"/>
  </si>
  <si>
    <t>Bodenplatte inkl. Leitungen</t>
    <phoneticPr fontId="5" type="noConversion"/>
  </si>
  <si>
    <t>XAZ.12.1.6</t>
    <phoneticPr fontId="5" type="noConversion"/>
  </si>
  <si>
    <t>Wände inkl. Öffnungen und Stürze</t>
    <phoneticPr fontId="5" type="noConversion"/>
  </si>
  <si>
    <t>Ringanker</t>
    <phoneticPr fontId="5" type="noConversion"/>
  </si>
  <si>
    <t>XAZ.12.2.3</t>
    <phoneticPr fontId="5" type="noConversion"/>
  </si>
  <si>
    <t>Dachdämmung</t>
    <phoneticPr fontId="5" type="noConversion"/>
  </si>
  <si>
    <t>XAZ.12.1.7</t>
    <phoneticPr fontId="5" type="noConversion"/>
  </si>
  <si>
    <t>Schornsteine</t>
    <phoneticPr fontId="5" type="noConversion"/>
  </si>
  <si>
    <t>XAZ.12.2.4</t>
    <phoneticPr fontId="5" type="noConversion"/>
  </si>
  <si>
    <t>Dachdeckung</t>
    <phoneticPr fontId="5" type="noConversion"/>
  </si>
  <si>
    <t>Betondecke</t>
    <phoneticPr fontId="5" type="noConversion"/>
  </si>
  <si>
    <t>XAZ.12.2.5</t>
    <phoneticPr fontId="5" type="noConversion"/>
  </si>
  <si>
    <t>Aufmauerung und Alueinfassung</t>
    <phoneticPr fontId="5" type="noConversion"/>
  </si>
  <si>
    <t>Regenentwässerung, Klempnerarbeiten</t>
    <phoneticPr fontId="5" type="noConversion"/>
  </si>
  <si>
    <t>XAZ.12.2.6</t>
    <phoneticPr fontId="5" type="noConversion"/>
  </si>
  <si>
    <t>Heizungsplanung</t>
    <phoneticPr fontId="5" type="noConversion"/>
  </si>
  <si>
    <t>Heizanlage</t>
    <phoneticPr fontId="5" type="noConversion"/>
  </si>
  <si>
    <t>Solaranlage (Heizungs-unterstützung, Warmwasser)</t>
    <phoneticPr fontId="5" type="noConversion"/>
  </si>
  <si>
    <t>XAZ.12.3.3</t>
    <phoneticPr fontId="5" type="noConversion"/>
  </si>
  <si>
    <t>XAZ.12.3.4</t>
    <phoneticPr fontId="5" type="noConversion"/>
  </si>
  <si>
    <t>Fußbodenheizung inkl. Dämmung</t>
    <phoneticPr fontId="5" type="noConversion"/>
  </si>
  <si>
    <t>XAZ.12.1.8</t>
    <phoneticPr fontId="5" type="noConversion"/>
  </si>
  <si>
    <t>Fenster/Türen</t>
    <phoneticPr fontId="5" type="noConversion"/>
  </si>
  <si>
    <t>Erschließung</t>
    <phoneticPr fontId="5" type="noConversion"/>
  </si>
  <si>
    <t>V 32.b</t>
    <phoneticPr fontId="5" type="noConversion"/>
  </si>
  <si>
    <t>Codierung wird durch den Wurzelcode (=Projektnummer) automatisch erzeugt!</t>
    <phoneticPr fontId="5" type="noConversion"/>
  </si>
  <si>
    <t>XAZ.12.4.1</t>
    <phoneticPr fontId="5" type="noConversion"/>
  </si>
  <si>
    <t>XAZ.12.5.1</t>
    <phoneticPr fontId="5" type="noConversion"/>
  </si>
  <si>
    <t>XAZ.12.6.1</t>
    <phoneticPr fontId="5" type="noConversion"/>
  </si>
  <si>
    <t>XAZ.12.7.1</t>
    <phoneticPr fontId="5" type="noConversion"/>
  </si>
  <si>
    <t>XAZ.12.8.1</t>
    <phoneticPr fontId="5" type="noConversion"/>
  </si>
  <si>
    <t>XAZ.12.1.2</t>
    <phoneticPr fontId="5" type="noConversion"/>
  </si>
  <si>
    <t>XAZ.12.2.2</t>
    <phoneticPr fontId="5" type="noConversion"/>
  </si>
  <si>
    <t>XAZ.12.3.2</t>
    <phoneticPr fontId="5" type="noConversion"/>
  </si>
  <si>
    <t>XAZ.12.4.2</t>
    <phoneticPr fontId="5" type="noConversion"/>
  </si>
  <si>
    <t>XAZ.12.5.2</t>
    <phoneticPr fontId="5" type="noConversion"/>
  </si>
  <si>
    <t>XAZ.12.6.2</t>
    <phoneticPr fontId="5" type="noConversion"/>
  </si>
  <si>
    <t>XAZ.12.7.2</t>
  </si>
  <si>
    <t>XAZ.12.7.2</t>
    <phoneticPr fontId="5" type="noConversion"/>
  </si>
  <si>
    <t>XAZ.12.8.2</t>
    <phoneticPr fontId="5" type="noConversion"/>
  </si>
  <si>
    <t>Rohbau</t>
    <phoneticPr fontId="5" type="noConversion"/>
  </si>
  <si>
    <t>Dach</t>
    <phoneticPr fontId="5" type="noConversion"/>
  </si>
  <si>
    <t>Heizung</t>
    <phoneticPr fontId="5" type="noConversion"/>
  </si>
  <si>
    <t>Sanitär</t>
    <phoneticPr fontId="5" type="noConversion"/>
  </si>
  <si>
    <t>Elektrik</t>
    <phoneticPr fontId="5" type="noConversion"/>
  </si>
  <si>
    <t>Aushub Baugrube inkl. Planum und Bodenverbesserung</t>
    <phoneticPr fontId="5" type="noConversion"/>
  </si>
  <si>
    <t>Oberboden abtragen und entsorgen</t>
    <phoneticPr fontId="5" type="noConversion"/>
  </si>
  <si>
    <t>Einmessung, Abstecken</t>
    <phoneticPr fontId="5" type="noConversion"/>
  </si>
  <si>
    <t>Bodengrund-gutachten</t>
    <phoneticPr fontId="5" type="noConversion"/>
  </si>
  <si>
    <t>Maßnahmen</t>
    <phoneticPr fontId="5" type="noConversion"/>
  </si>
  <si>
    <t>beteiligte Stakeholder</t>
    <phoneticPr fontId="5" type="noConversion"/>
  </si>
  <si>
    <t>Kosten</t>
    <phoneticPr fontId="5" type="noConversion"/>
  </si>
  <si>
    <t>Projekt:</t>
    <phoneticPr fontId="5" type="noConversion"/>
  </si>
  <si>
    <t>Nr.</t>
    <phoneticPr fontId="5" type="noConversion"/>
  </si>
  <si>
    <t>Stakeholder ermitteln</t>
  </si>
  <si>
    <t>Auswirkungen der Interessen ermitteln</t>
  </si>
  <si>
    <t>Konfliktwahrscheinlichkeit und Einfluss ermitteln (1-4)</t>
  </si>
  <si>
    <t>Portfolio aufstellen (Visualisierung)</t>
  </si>
  <si>
    <t>Maßnahmen entwickeln (Stakeholderkommunikation)</t>
  </si>
  <si>
    <t>Strategien festlegen (diskursiv, partizipativ, repressiv)</t>
  </si>
  <si>
    <t>Küchenlieferant</t>
    <phoneticPr fontId="5" type="noConversion"/>
  </si>
  <si>
    <t>XAZ.12.5.3</t>
    <phoneticPr fontId="5" type="noConversion"/>
  </si>
  <si>
    <t>Leitungen</t>
    <phoneticPr fontId="5" type="noConversion"/>
  </si>
  <si>
    <t>XAZ.12.5.4</t>
    <phoneticPr fontId="5" type="noConversion"/>
  </si>
  <si>
    <t>Dosen/Schalter usw.</t>
    <phoneticPr fontId="5" type="noConversion"/>
  </si>
  <si>
    <t>XAZ.12.5.5</t>
    <phoneticPr fontId="5" type="noConversion"/>
  </si>
  <si>
    <t>Außenanlagen E</t>
    <phoneticPr fontId="5" type="noConversion"/>
  </si>
  <si>
    <t>Einfahrt</t>
    <phoneticPr fontId="5" type="noConversion"/>
  </si>
  <si>
    <t>XAZ.12.9.2</t>
    <phoneticPr fontId="5" type="noConversion"/>
  </si>
  <si>
    <t>Garage</t>
    <phoneticPr fontId="5" type="noConversion"/>
  </si>
  <si>
    <t>XAZ.12.9.3</t>
    <phoneticPr fontId="5" type="noConversion"/>
  </si>
  <si>
    <t>Garten</t>
    <phoneticPr fontId="5" type="noConversion"/>
  </si>
  <si>
    <t>XAZ.12.9.4</t>
    <phoneticPr fontId="5" type="noConversion"/>
  </si>
  <si>
    <t>Zaun</t>
    <phoneticPr fontId="5" type="noConversion"/>
  </si>
  <si>
    <t>Planung</t>
    <phoneticPr fontId="5" type="noConversion"/>
  </si>
  <si>
    <t>XAZ.12.10.2</t>
    <phoneticPr fontId="5" type="noConversion"/>
  </si>
  <si>
    <t>Einbau</t>
    <phoneticPr fontId="5" type="noConversion"/>
  </si>
  <si>
    <t>Fußbodenbeläge</t>
    <phoneticPr fontId="5" type="noConversion"/>
  </si>
  <si>
    <t>XAZ.12.11.2</t>
    <phoneticPr fontId="5" type="noConversion"/>
  </si>
  <si>
    <t>Fußboden</t>
    <phoneticPr fontId="5" type="noConversion"/>
  </si>
  <si>
    <t>XAZ.12.1.9</t>
    <phoneticPr fontId="5" type="noConversion"/>
  </si>
  <si>
    <t>XAZ.12.1.10</t>
    <phoneticPr fontId="5" type="noConversion"/>
  </si>
  <si>
    <t>XAZ.12.4.3</t>
    <phoneticPr fontId="5" type="noConversion"/>
  </si>
  <si>
    <t>XAZ.12.4.4</t>
    <phoneticPr fontId="5" type="noConversion"/>
  </si>
  <si>
    <t>XAZ.12.4.5</t>
    <phoneticPr fontId="5" type="noConversion"/>
  </si>
  <si>
    <t>XAZ.12.4.6</t>
    <phoneticPr fontId="5" type="noConversion"/>
  </si>
  <si>
    <t>XAZ.12.4.7</t>
    <phoneticPr fontId="5" type="noConversion"/>
  </si>
  <si>
    <t>XAZ.12.4.8</t>
    <phoneticPr fontId="5" type="noConversion"/>
  </si>
  <si>
    <t>XAZ.12.4.9</t>
    <phoneticPr fontId="5" type="noConversion"/>
  </si>
  <si>
    <t>XAZ.12.4.10</t>
    <phoneticPr fontId="5" type="noConversion"/>
  </si>
  <si>
    <t>Methode wählen (Top-Down, Bottom-Up)</t>
  </si>
  <si>
    <t>Gliederung wählen</t>
  </si>
  <si>
    <t>Teilaufgaben / Arbeitspakete bestimmen</t>
  </si>
  <si>
    <t>Verantwortliche zuordnen</t>
  </si>
  <si>
    <t>Codierung festlegen</t>
  </si>
  <si>
    <t xml:space="preserve">Inhalte der Arbeitspakete festschreiben </t>
  </si>
  <si>
    <t>XAZ.12.9.1</t>
    <phoneticPr fontId="5" type="noConversion"/>
  </si>
  <si>
    <t>XAZ.12.10.1</t>
    <phoneticPr fontId="5" type="noConversion"/>
  </si>
  <si>
    <t>XAZ.12.11.1</t>
    <phoneticPr fontId="5" type="noConversion"/>
  </si>
  <si>
    <t>XAZ.12.12.1</t>
    <phoneticPr fontId="5" type="noConversion"/>
  </si>
  <si>
    <t>Garten/Garage</t>
    <phoneticPr fontId="5" type="noConversion"/>
  </si>
  <si>
    <t>PM</t>
    <phoneticPr fontId="5" type="noConversion"/>
  </si>
  <si>
    <t>Küche</t>
    <phoneticPr fontId="5" type="noConversion"/>
  </si>
  <si>
    <t>Einrichtung</t>
    <phoneticPr fontId="5" type="noConversion"/>
  </si>
  <si>
    <t>XAZ.12.8.7</t>
    <phoneticPr fontId="5" type="noConversion"/>
  </si>
  <si>
    <t>Umzug</t>
    <phoneticPr fontId="5" type="noConversion"/>
  </si>
  <si>
    <t>Hauptleitungen TW/SW</t>
    <phoneticPr fontId="5" type="noConversion"/>
  </si>
  <si>
    <t>Regenwasser</t>
    <phoneticPr fontId="5" type="noConversion"/>
  </si>
  <si>
    <t>Trinkwasser</t>
    <phoneticPr fontId="5" type="noConversion"/>
  </si>
  <si>
    <t>XAZ.12.7.3</t>
    <phoneticPr fontId="5" type="noConversion"/>
  </si>
  <si>
    <t>Entwässerung SW</t>
    <phoneticPr fontId="5" type="noConversion"/>
  </si>
  <si>
    <t>XAZ.12.7.4</t>
    <phoneticPr fontId="5" type="noConversion"/>
  </si>
  <si>
    <t>Stromversorgung</t>
    <phoneticPr fontId="5" type="noConversion"/>
  </si>
  <si>
    <t>XAZ.12.7.5</t>
    <phoneticPr fontId="5" type="noConversion"/>
  </si>
  <si>
    <t>Telefon/Internet</t>
    <phoneticPr fontId="5" type="noConversion"/>
  </si>
  <si>
    <t>Gas</t>
    <phoneticPr fontId="5" type="noConversion"/>
  </si>
  <si>
    <t>Fenster</t>
    <phoneticPr fontId="5" type="noConversion"/>
  </si>
  <si>
    <t>Innentüren</t>
    <phoneticPr fontId="5" type="noConversion"/>
  </si>
  <si>
    <t>XAZ.12.6.3</t>
    <phoneticPr fontId="5" type="noConversion"/>
  </si>
  <si>
    <t>Haustür</t>
    <phoneticPr fontId="5" type="noConversion"/>
  </si>
  <si>
    <t>XAZ.12.6.4</t>
    <phoneticPr fontId="5" type="noConversion"/>
  </si>
  <si>
    <t>Küche</t>
    <phoneticPr fontId="5" type="noConversion"/>
  </si>
  <si>
    <t>Bad 1</t>
    <phoneticPr fontId="5" type="noConversion"/>
  </si>
  <si>
    <t>Bad 2</t>
    <phoneticPr fontId="5" type="noConversion"/>
  </si>
  <si>
    <t>Außenanlagen</t>
    <phoneticPr fontId="5" type="noConversion"/>
  </si>
  <si>
    <t>Hausanschluss innen</t>
    <phoneticPr fontId="5" type="noConversion"/>
  </si>
  <si>
    <t>Strömkästen</t>
    <phoneticPr fontId="5" type="noConversion"/>
  </si>
  <si>
    <t>Planung/Orga</t>
    <phoneticPr fontId="5" type="noConversion"/>
  </si>
  <si>
    <t>Genehmigung</t>
    <phoneticPr fontId="5" type="noConversion"/>
  </si>
  <si>
    <t>XAZ.12.8.3</t>
    <phoneticPr fontId="5" type="noConversion"/>
  </si>
  <si>
    <t>Entwurfsplanung</t>
    <phoneticPr fontId="5" type="noConversion"/>
  </si>
  <si>
    <t>Ausführungsplanung</t>
    <phoneticPr fontId="5" type="noConversion"/>
  </si>
  <si>
    <t>XAZ.12.8.4</t>
    <phoneticPr fontId="5" type="noConversion"/>
  </si>
  <si>
    <t>Bauleitung</t>
    <phoneticPr fontId="5" type="noConversion"/>
  </si>
  <si>
    <t>Abnahme</t>
    <phoneticPr fontId="5" type="noConversion"/>
  </si>
  <si>
    <t>Richtfest</t>
    <phoneticPr fontId="5" type="noConversion"/>
  </si>
  <si>
    <t>XAZ.12.8.5</t>
    <phoneticPr fontId="5" type="noConversion"/>
  </si>
  <si>
    <t>XAZ.12.8.6</t>
    <phoneticPr fontId="5" type="noConversion"/>
  </si>
  <si>
    <t>XAZ.12.1.3</t>
    <phoneticPr fontId="5" type="noConversion"/>
  </si>
  <si>
    <r>
      <t xml:space="preserve">Projektphasen und Meilensteine
</t>
    </r>
    <r>
      <rPr>
        <sz val="12"/>
        <color indexed="48"/>
        <rFont val="Verdana"/>
      </rPr>
      <t>Phasen und Meilensteine</t>
    </r>
  </si>
  <si>
    <r>
      <t xml:space="preserve">Kernteam
</t>
    </r>
    <r>
      <rPr>
        <sz val="12"/>
        <color indexed="48"/>
        <rFont val="Verdana"/>
      </rPr>
      <t>Namen PL und PMA</t>
    </r>
  </si>
  <si>
    <t>Gruppe A</t>
  </si>
  <si>
    <t>Gruppe B</t>
  </si>
  <si>
    <t>Gruppe C</t>
  </si>
  <si>
    <t>Gruppe D</t>
  </si>
  <si>
    <t>Gruppe E</t>
  </si>
  <si>
    <r>
      <t>Zielplanung V1.</t>
    </r>
    <r>
      <rPr>
        <b/>
        <sz val="10"/>
        <rFont val="Verdana"/>
      </rPr>
      <t>3</t>
    </r>
  </si>
  <si>
    <t>Teamorganigramm Version 1.3</t>
  </si>
  <si>
    <t>Projektleitung</t>
  </si>
  <si>
    <t>Steckbrief Version 1.3</t>
  </si>
  <si>
    <t>Stakeholderziele</t>
  </si>
  <si>
    <t>L4</t>
  </si>
  <si>
    <t>Richtfest mit den angrenzenden Nachbarn</t>
  </si>
  <si>
    <t>Eigenanteil Finanzierung mind. 100.000 Euro</t>
  </si>
  <si>
    <t>Zimmer: 1 WZi 40m2, 1SZi 30m2, 2 Kzi 20m2</t>
  </si>
  <si>
    <t>L5</t>
  </si>
  <si>
    <t>L6</t>
  </si>
  <si>
    <t>L7</t>
  </si>
  <si>
    <t>L8</t>
  </si>
  <si>
    <t>Zahlung des aktuellen Mindestlohnes für Hilfsarbeiten</t>
  </si>
  <si>
    <t>S3</t>
  </si>
  <si>
    <t>V2.1</t>
  </si>
  <si>
    <t>Hausbau 2017 
Familie Könner</t>
  </si>
  <si>
    <t>bezugsfertig am 1.12.2017</t>
  </si>
  <si>
    <t>Projektende 30.9.2017</t>
  </si>
  <si>
    <t>Baugenehmigung liegt vor: 15.3.2017</t>
  </si>
  <si>
    <t>Stakeholderanalyse V1.3</t>
  </si>
  <si>
    <t>Platz für Hundezwinger gemeinsam festlegen</t>
  </si>
  <si>
    <t>2; bei Bedarf 5</t>
  </si>
  <si>
    <r>
      <t>Kosten</t>
    </r>
    <r>
      <rPr>
        <b/>
        <sz val="10"/>
        <rFont val="Verdana"/>
      </rPr>
      <t xml:space="preserve"> in Euro</t>
    </r>
  </si>
  <si>
    <t>diskursiv</t>
  </si>
  <si>
    <t>Strat.</t>
  </si>
  <si>
    <t>partizipativ</t>
  </si>
  <si>
    <t>ca. 50,-</t>
  </si>
  <si>
    <t>ca. 50,-; evtl. 250,-</t>
  </si>
  <si>
    <t>1;2</t>
  </si>
  <si>
    <t>Einladung zum Richtfest</t>
  </si>
  <si>
    <t>1;2;5;6;7;1</t>
  </si>
  <si>
    <t>ca. 500,-</t>
  </si>
  <si>
    <t>Voranfrage wegen der notwendigen Unterlagen</t>
  </si>
  <si>
    <t>4;5</t>
  </si>
  <si>
    <t>regelmäßige Abstimmung in der Planung (2w)</t>
  </si>
  <si>
    <t>genauen Vertrag aufsetzen</t>
  </si>
  <si>
    <t>6;5</t>
  </si>
  <si>
    <t>siehe oben</t>
  </si>
  <si>
    <r>
      <t>Projektstrukturplan V1.</t>
    </r>
    <r>
      <rPr>
        <b/>
        <sz val="10"/>
        <rFont val="Verdana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</si>
</sst>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color indexed="10"/>
      <name val="Verdana"/>
    </font>
    <font>
      <b/>
      <sz val="10"/>
      <color indexed="10"/>
      <name val="Verdana"/>
    </font>
    <font>
      <b/>
      <sz val="14"/>
      <color indexed="10"/>
      <name val="Verdana"/>
    </font>
    <font>
      <sz val="12"/>
      <name val="Verdana"/>
    </font>
    <font>
      <sz val="18"/>
      <name val="Verdana"/>
    </font>
    <font>
      <sz val="12"/>
      <color indexed="48"/>
      <name val="Verdana"/>
    </font>
    <font>
      <sz val="10"/>
      <color indexed="48"/>
      <name val="Verdana"/>
    </font>
    <font>
      <b/>
      <sz val="10"/>
      <color indexed="48"/>
      <name val="Verdana"/>
    </font>
    <font>
      <b/>
      <sz val="10"/>
      <color indexed="11"/>
      <name val="Verdana"/>
    </font>
    <font>
      <b/>
      <sz val="10"/>
      <color indexed="57"/>
      <name val="Verdana"/>
    </font>
    <font>
      <sz val="10"/>
      <color indexed="55"/>
      <name val="Verdana"/>
    </font>
    <font>
      <b/>
      <sz val="12"/>
      <name val="Verdana"/>
    </font>
    <font>
      <sz val="8"/>
      <color indexed="48"/>
      <name val="Verdana"/>
    </font>
    <font>
      <u/>
      <sz val="10"/>
      <color theme="10"/>
      <name val="Verdana"/>
    </font>
    <font>
      <u/>
      <sz val="10"/>
      <color theme="11"/>
      <name val="Verdana"/>
    </font>
  </fonts>
  <fills count="1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</fills>
  <borders count="4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195">
    <xf numFmtId="0" fontId="0" fillId="0" borderId="0" xfId="0"/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4" fillId="0" borderId="0" xfId="0" applyFont="1"/>
    <xf numFmtId="0" fontId="0" fillId="0" borderId="0" xfId="0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9" fillId="0" borderId="14" xfId="0" applyFont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13" xfId="0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0" fontId="0" fillId="2" borderId="12" xfId="0" applyFill="1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4" borderId="12" xfId="0" applyFill="1" applyBorder="1" applyAlignment="1">
      <alignment horizontal="center" vertical="top"/>
    </xf>
    <xf numFmtId="0" fontId="0" fillId="5" borderId="12" xfId="0" applyFill="1" applyBorder="1" applyAlignment="1">
      <alignment horizontal="center" vertical="top"/>
    </xf>
    <xf numFmtId="0" fontId="0" fillId="0" borderId="7" xfId="0" applyBorder="1" applyAlignment="1">
      <alignment horizontal="left" vertical="top" wrapText="1"/>
    </xf>
    <xf numFmtId="0" fontId="0" fillId="7" borderId="12" xfId="0" applyFill="1" applyBorder="1" applyAlignment="1">
      <alignment horizontal="center" vertical="top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7" fillId="0" borderId="0" xfId="0" applyFont="1" applyAlignment="1"/>
    <xf numFmtId="0" fontId="12" fillId="0" borderId="0" xfId="0" applyFont="1"/>
    <xf numFmtId="0" fontId="11" fillId="6" borderId="14" xfId="0" applyFont="1" applyFill="1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7" fillId="0" borderId="14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4" fillId="0" borderId="15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0" fontId="13" fillId="0" borderId="13" xfId="0" applyFont="1" applyBorder="1" applyAlignment="1">
      <alignment horizontal="center" vertical="top"/>
    </xf>
    <xf numFmtId="0" fontId="15" fillId="0" borderId="13" xfId="0" applyFont="1" applyBorder="1" applyAlignment="1">
      <alignment horizontal="center" vertical="top"/>
    </xf>
    <xf numFmtId="0" fontId="0" fillId="0" borderId="29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34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36" xfId="0" applyBorder="1" applyAlignment="1">
      <alignment horizontal="center" vertical="top"/>
    </xf>
    <xf numFmtId="0" fontId="0" fillId="0" borderId="37" xfId="0" applyBorder="1" applyAlignment="1">
      <alignment horizontal="center" vertical="top"/>
    </xf>
    <xf numFmtId="0" fontId="0" fillId="8" borderId="26" xfId="0" applyFill="1" applyBorder="1" applyAlignment="1">
      <alignment horizontal="center" vertical="center"/>
    </xf>
    <xf numFmtId="0" fontId="0" fillId="8" borderId="27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 wrapText="1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16" fillId="6" borderId="0" xfId="0" applyFont="1" applyFill="1"/>
    <xf numFmtId="0" fontId="16" fillId="6" borderId="16" xfId="0" applyFont="1" applyFill="1" applyBorder="1" applyAlignment="1">
      <alignment horizontal="left" vertical="top"/>
    </xf>
    <xf numFmtId="0" fontId="16" fillId="6" borderId="17" xfId="0" applyFont="1" applyFill="1" applyBorder="1" applyAlignment="1">
      <alignment horizontal="left" vertical="top"/>
    </xf>
    <xf numFmtId="0" fontId="16" fillId="6" borderId="18" xfId="0" applyFont="1" applyFill="1" applyBorder="1" applyAlignment="1">
      <alignment horizontal="left" vertical="top"/>
    </xf>
    <xf numFmtId="0" fontId="16" fillId="6" borderId="22" xfId="0" applyFont="1" applyFill="1" applyBorder="1" applyAlignment="1">
      <alignment horizontal="left" vertical="top"/>
    </xf>
    <xf numFmtId="0" fontId="16" fillId="6" borderId="0" xfId="0" applyFont="1" applyFill="1" applyBorder="1" applyAlignment="1">
      <alignment horizontal="left" vertical="top"/>
    </xf>
    <xf numFmtId="0" fontId="16" fillId="6" borderId="23" xfId="0" applyFont="1" applyFill="1" applyBorder="1" applyAlignment="1">
      <alignment horizontal="left" vertical="top"/>
    </xf>
    <xf numFmtId="0" fontId="16" fillId="6" borderId="19" xfId="0" applyFont="1" applyFill="1" applyBorder="1" applyAlignment="1">
      <alignment horizontal="left" vertical="top"/>
    </xf>
    <xf numFmtId="0" fontId="16" fillId="6" borderId="20" xfId="0" applyFont="1" applyFill="1" applyBorder="1" applyAlignment="1">
      <alignment horizontal="left" vertical="top"/>
    </xf>
    <xf numFmtId="0" fontId="16" fillId="6" borderId="21" xfId="0" applyFont="1" applyFill="1" applyBorder="1" applyAlignment="1">
      <alignment horizontal="left" vertical="top"/>
    </xf>
    <xf numFmtId="0" fontId="0" fillId="6" borderId="0" xfId="0" applyFill="1" applyAlignment="1">
      <alignment horizontal="left" vertical="top"/>
    </xf>
    <xf numFmtId="0" fontId="4" fillId="0" borderId="0" xfId="0" applyFont="1" applyBorder="1"/>
    <xf numFmtId="0" fontId="0" fillId="0" borderId="9" xfId="0" applyBorder="1"/>
    <xf numFmtId="0" fontId="0" fillId="0" borderId="11" xfId="0" applyBorder="1"/>
    <xf numFmtId="0" fontId="4" fillId="0" borderId="29" xfId="0" applyFont="1" applyBorder="1"/>
    <xf numFmtId="0" fontId="0" fillId="0" borderId="29" xfId="0" applyBorder="1"/>
    <xf numFmtId="16" fontId="0" fillId="0" borderId="29" xfId="0" applyNumberFormat="1" applyBorder="1"/>
    <xf numFmtId="0" fontId="12" fillId="0" borderId="29" xfId="0" applyFont="1" applyBorder="1" applyAlignment="1">
      <alignment horizontal="left" vertical="top"/>
    </xf>
    <xf numFmtId="0" fontId="5" fillId="0" borderId="29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8" fillId="0" borderId="29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/>
    </xf>
    <xf numFmtId="0" fontId="18" fillId="0" borderId="29" xfId="0" applyFont="1" applyBorder="1"/>
    <xf numFmtId="0" fontId="0" fillId="0" borderId="4" xfId="0" applyBorder="1" applyAlignment="1">
      <alignment horizontal="center" vertical="top"/>
    </xf>
    <xf numFmtId="0" fontId="3" fillId="0" borderId="0" xfId="0" applyFont="1"/>
    <xf numFmtId="0" fontId="5" fillId="0" borderId="0" xfId="0" applyFont="1" applyBorder="1"/>
    <xf numFmtId="0" fontId="12" fillId="0" borderId="29" xfId="0" applyFont="1" applyBorder="1" applyAlignment="1">
      <alignment horizontal="left" vertical="top" wrapText="1"/>
    </xf>
    <xf numFmtId="0" fontId="0" fillId="7" borderId="26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/>
    </xf>
    <xf numFmtId="0" fontId="11" fillId="0" borderId="14" xfId="0" applyFont="1" applyBorder="1" applyAlignment="1">
      <alignment horizontal="left" vertical="top"/>
    </xf>
    <xf numFmtId="0" fontId="2" fillId="2" borderId="12" xfId="0" applyFont="1" applyFill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3" borderId="12" xfId="0" applyFont="1" applyFill="1" applyBorder="1" applyAlignment="1">
      <alignment horizontal="center" vertical="top"/>
    </xf>
    <xf numFmtId="0" fontId="2" fillId="4" borderId="12" xfId="0" applyFont="1" applyFill="1" applyBorder="1" applyAlignment="1">
      <alignment horizontal="center" vertical="top"/>
    </xf>
    <xf numFmtId="0" fontId="2" fillId="5" borderId="12" xfId="0" applyFont="1" applyFill="1" applyBorder="1" applyAlignment="1">
      <alignment horizontal="center" vertical="top"/>
    </xf>
    <xf numFmtId="0" fontId="2" fillId="7" borderId="12" xfId="0" applyFont="1" applyFill="1" applyBorder="1" applyAlignment="1">
      <alignment horizontal="center" vertical="top"/>
    </xf>
    <xf numFmtId="0" fontId="2" fillId="0" borderId="0" xfId="0" applyFont="1" applyBorder="1"/>
    <xf numFmtId="0" fontId="2" fillId="9" borderId="12" xfId="0" applyFont="1" applyFill="1" applyBorder="1" applyAlignment="1">
      <alignment horizontal="center" vertical="top"/>
    </xf>
    <xf numFmtId="0" fontId="2" fillId="10" borderId="12" xfId="0" applyFont="1" applyFill="1" applyBorder="1" applyAlignment="1">
      <alignment horizontal="center" vertical="top"/>
    </xf>
    <xf numFmtId="0" fontId="2" fillId="11" borderId="12" xfId="0" applyFont="1" applyFill="1" applyBorder="1" applyAlignment="1">
      <alignment horizontal="center" vertical="top"/>
    </xf>
    <xf numFmtId="0" fontId="2" fillId="12" borderId="12" xfId="0" applyFont="1" applyFill="1" applyBorder="1" applyAlignment="1">
      <alignment horizontal="center" vertical="top"/>
    </xf>
    <xf numFmtId="0" fontId="2" fillId="13" borderId="12" xfId="0" applyFont="1" applyFill="1" applyBorder="1" applyAlignment="1">
      <alignment horizontal="center" vertical="top"/>
    </xf>
    <xf numFmtId="0" fontId="2" fillId="14" borderId="12" xfId="0" applyFont="1" applyFill="1" applyBorder="1" applyAlignment="1">
      <alignment horizontal="center" vertical="top"/>
    </xf>
    <xf numFmtId="0" fontId="2" fillId="15" borderId="12" xfId="0" applyFont="1" applyFill="1" applyBorder="1" applyAlignment="1">
      <alignment horizontal="center" vertical="top"/>
    </xf>
    <xf numFmtId="0" fontId="1" fillId="0" borderId="0" xfId="0" applyFont="1"/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11" fillId="6" borderId="1" xfId="0" applyFont="1" applyFill="1" applyBorder="1" applyAlignment="1">
      <alignment horizontal="left" vertical="top"/>
    </xf>
    <xf numFmtId="0" fontId="12" fillId="6" borderId="0" xfId="0" applyFont="1" applyFill="1" applyAlignment="1">
      <alignment vertical="top"/>
    </xf>
    <xf numFmtId="0" fontId="12" fillId="6" borderId="2" xfId="0" applyFont="1" applyFill="1" applyBorder="1" applyAlignment="1">
      <alignment vertical="top"/>
    </xf>
    <xf numFmtId="0" fontId="12" fillId="6" borderId="1" xfId="0" applyFont="1" applyFill="1" applyBorder="1" applyAlignment="1">
      <alignment vertical="top"/>
    </xf>
    <xf numFmtId="0" fontId="12" fillId="0" borderId="14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6" borderId="11" xfId="0" applyFont="1" applyFill="1" applyBorder="1" applyAlignment="1"/>
    <xf numFmtId="0" fontId="0" fillId="0" borderId="11" xfId="0" applyBorder="1" applyAlignment="1"/>
    <xf numFmtId="0" fontId="0" fillId="0" borderId="10" xfId="0" applyBorder="1" applyAlignment="1"/>
    <xf numFmtId="0" fontId="17" fillId="0" borderId="29" xfId="0" applyFont="1" applyBorder="1" applyAlignment="1"/>
    <xf numFmtId="0" fontId="0" fillId="0" borderId="29" xfId="0" applyBorder="1" applyAlignment="1"/>
    <xf numFmtId="0" fontId="4" fillId="0" borderId="29" xfId="0" applyFont="1" applyBorder="1" applyAlignment="1"/>
    <xf numFmtId="0" fontId="4" fillId="0" borderId="29" xfId="0" applyFont="1" applyBorder="1" applyAlignment="1">
      <alignment horizontal="center"/>
    </xf>
    <xf numFmtId="0" fontId="0" fillId="0" borderId="4" xfId="0" applyBorder="1" applyAlignment="1">
      <alignment horizontal="center" vertical="top"/>
    </xf>
    <xf numFmtId="0" fontId="4" fillId="0" borderId="9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8" fillId="0" borderId="29" xfId="0" applyFont="1" applyBorder="1" applyAlignment="1"/>
    <xf numFmtId="0" fontId="18" fillId="0" borderId="38" xfId="0" applyFont="1" applyBorder="1" applyAlignment="1">
      <alignment wrapText="1"/>
    </xf>
    <xf numFmtId="0" fontId="18" fillId="0" borderId="39" xfId="0" applyFont="1" applyBorder="1" applyAlignment="1">
      <alignment wrapText="1"/>
    </xf>
    <xf numFmtId="0" fontId="18" fillId="0" borderId="40" xfId="0" applyFont="1" applyBorder="1" applyAlignment="1">
      <alignment wrapText="1"/>
    </xf>
    <xf numFmtId="0" fontId="13" fillId="6" borderId="9" xfId="0" applyFont="1" applyFill="1" applyBorder="1" applyAlignment="1">
      <alignment horizontal="center" vertical="top"/>
    </xf>
    <xf numFmtId="0" fontId="13" fillId="6" borderId="11" xfId="0" applyFont="1" applyFill="1" applyBorder="1" applyAlignment="1">
      <alignment vertical="top"/>
    </xf>
    <xf numFmtId="0" fontId="13" fillId="6" borderId="10" xfId="0" applyFont="1" applyFill="1" applyBorder="1" applyAlignment="1">
      <alignment vertical="top"/>
    </xf>
    <xf numFmtId="0" fontId="0" fillId="0" borderId="0" xfId="0" applyBorder="1" applyAlignment="1">
      <alignment vertical="center" wrapText="1"/>
    </xf>
    <xf numFmtId="0" fontId="12" fillId="6" borderId="0" xfId="0" applyFont="1" applyFill="1" applyBorder="1" applyAlignment="1">
      <alignment vertical="top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0" fillId="0" borderId="2" xfId="0" applyBorder="1" applyAlignment="1"/>
    <xf numFmtId="0" fontId="12" fillId="0" borderId="6" xfId="0" applyFont="1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0" fillId="0" borderId="0" xfId="0" applyBorder="1" applyAlignment="1">
      <alignment vertical="top" wrapText="1"/>
    </xf>
    <xf numFmtId="0" fontId="0" fillId="0" borderId="0" xfId="0" applyAlignment="1"/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top"/>
    </xf>
    <xf numFmtId="14" fontId="13" fillId="0" borderId="14" xfId="0" applyNumberFormat="1" applyFont="1" applyBorder="1" applyAlignment="1">
      <alignment horizontal="center" vertical="top"/>
    </xf>
    <xf numFmtId="0" fontId="1" fillId="0" borderId="29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0" fontId="1" fillId="0" borderId="40" xfId="0" applyFont="1" applyBorder="1" applyAlignment="1"/>
    <xf numFmtId="0" fontId="18" fillId="0" borderId="38" xfId="0" applyFont="1" applyBorder="1" applyAlignment="1">
      <alignment horizontal="left" wrapText="1"/>
    </xf>
    <xf numFmtId="0" fontId="18" fillId="0" borderId="39" xfId="0" applyFont="1" applyBorder="1" applyAlignment="1">
      <alignment horizontal="left" wrapText="1"/>
    </xf>
    <xf numFmtId="0" fontId="18" fillId="0" borderId="40" xfId="0" applyFont="1" applyBorder="1" applyAlignment="1">
      <alignment horizontal="left" wrapText="1"/>
    </xf>
    <xf numFmtId="0" fontId="1" fillId="0" borderId="16" xfId="0" applyFont="1" applyBorder="1" applyAlignment="1">
      <alignment horizontal="left" vertical="top"/>
    </xf>
  </cellXfs>
  <cellStyles count="1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710406</xdr:colOff>
      <xdr:row>6</xdr:row>
      <xdr:rowOff>70644</xdr:rowOff>
    </xdr:from>
    <xdr:to>
      <xdr:col>5</xdr:col>
      <xdr:colOff>711994</xdr:colOff>
      <xdr:row>8</xdr:row>
      <xdr:rowOff>172244</xdr:rowOff>
    </xdr:to>
    <xdr:cxnSp macro="">
      <xdr:nvCxnSpPr>
        <xdr:cNvPr id="7" name="Gerade Verbindung 6"/>
        <xdr:cNvCxnSpPr/>
      </xdr:nvCxnSpPr>
      <xdr:spPr>
        <a:xfrm rot="5400000">
          <a:off x="4260850" y="1231900"/>
          <a:ext cx="342900" cy="15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717550</xdr:colOff>
      <xdr:row>13</xdr:row>
      <xdr:rowOff>57944</xdr:rowOff>
    </xdr:from>
    <xdr:to>
      <xdr:col>5</xdr:col>
      <xdr:colOff>718344</xdr:colOff>
      <xdr:row>15</xdr:row>
      <xdr:rowOff>0</xdr:rowOff>
    </xdr:to>
    <xdr:cxnSp macro="">
      <xdr:nvCxnSpPr>
        <xdr:cNvPr id="9" name="Gerade Verbindung 8"/>
        <xdr:cNvCxnSpPr/>
      </xdr:nvCxnSpPr>
      <xdr:spPr>
        <a:xfrm rot="5400000">
          <a:off x="4353719" y="2187575"/>
          <a:ext cx="170656" cy="794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14</xdr:row>
      <xdr:rowOff>160867</xdr:rowOff>
    </xdr:from>
    <xdr:to>
      <xdr:col>8</xdr:col>
      <xdr:colOff>135467</xdr:colOff>
      <xdr:row>14</xdr:row>
      <xdr:rowOff>162272</xdr:rowOff>
    </xdr:to>
    <xdr:cxnSp macro="">
      <xdr:nvCxnSpPr>
        <xdr:cNvPr id="11" name="Gerade Verbindung 10"/>
        <xdr:cNvCxnSpPr/>
      </xdr:nvCxnSpPr>
      <xdr:spPr>
        <a:xfrm>
          <a:off x="101600" y="2294467"/>
          <a:ext cx="7018867" cy="1405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105040</xdr:colOff>
      <xdr:row>14</xdr:row>
      <xdr:rowOff>155311</xdr:rowOff>
    </xdr:from>
    <xdr:to>
      <xdr:col>0</xdr:col>
      <xdr:colOff>110068</xdr:colOff>
      <xdr:row>34</xdr:row>
      <xdr:rowOff>84666</xdr:rowOff>
    </xdr:to>
    <xdr:cxnSp macro="">
      <xdr:nvCxnSpPr>
        <xdr:cNvPr id="16" name="Gerade Verbindung 15"/>
        <xdr:cNvCxnSpPr/>
      </xdr:nvCxnSpPr>
      <xdr:spPr>
        <a:xfrm rot="16200000" flipH="1">
          <a:off x="-1368424" y="3762375"/>
          <a:ext cx="2951955" cy="502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118536</xdr:colOff>
      <xdr:row>15</xdr:row>
      <xdr:rowOff>2914</xdr:rowOff>
    </xdr:from>
    <xdr:to>
      <xdr:col>2</xdr:col>
      <xdr:colOff>120651</xdr:colOff>
      <xdr:row>34</xdr:row>
      <xdr:rowOff>92075</xdr:rowOff>
    </xdr:to>
    <xdr:cxnSp macro="">
      <xdr:nvCxnSpPr>
        <xdr:cNvPr id="18" name="Gerade Verbindung 17"/>
        <xdr:cNvCxnSpPr/>
      </xdr:nvCxnSpPr>
      <xdr:spPr>
        <a:xfrm rot="16200000" flipV="1">
          <a:off x="379813" y="3729437"/>
          <a:ext cx="2908561" cy="211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151607</xdr:colOff>
      <xdr:row>14</xdr:row>
      <xdr:rowOff>163778</xdr:rowOff>
    </xdr:from>
    <xdr:to>
      <xdr:col>4</xdr:col>
      <xdr:colOff>156635</xdr:colOff>
      <xdr:row>34</xdr:row>
      <xdr:rowOff>93133</xdr:rowOff>
    </xdr:to>
    <xdr:cxnSp macro="">
      <xdr:nvCxnSpPr>
        <xdr:cNvPr id="19" name="Gerade Verbindung 18"/>
        <xdr:cNvCxnSpPr/>
      </xdr:nvCxnSpPr>
      <xdr:spPr>
        <a:xfrm rot="10800000" flipH="1">
          <a:off x="3593307" y="2271978"/>
          <a:ext cx="5028" cy="29138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138907</xdr:colOff>
      <xdr:row>14</xdr:row>
      <xdr:rowOff>163778</xdr:rowOff>
    </xdr:from>
    <xdr:to>
      <xdr:col>6</xdr:col>
      <xdr:colOff>143935</xdr:colOff>
      <xdr:row>34</xdr:row>
      <xdr:rowOff>93133</xdr:rowOff>
    </xdr:to>
    <xdr:cxnSp macro="">
      <xdr:nvCxnSpPr>
        <xdr:cNvPr id="20" name="Gerade Verbindung 19"/>
        <xdr:cNvCxnSpPr/>
      </xdr:nvCxnSpPr>
      <xdr:spPr>
        <a:xfrm rot="10800000" flipH="1">
          <a:off x="5362840" y="2297378"/>
          <a:ext cx="5028" cy="29519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131499</xdr:colOff>
      <xdr:row>14</xdr:row>
      <xdr:rowOff>163778</xdr:rowOff>
    </xdr:from>
    <xdr:to>
      <xdr:col>8</xdr:col>
      <xdr:colOff>136527</xdr:colOff>
      <xdr:row>34</xdr:row>
      <xdr:rowOff>93133</xdr:rowOff>
    </xdr:to>
    <xdr:cxnSp macro="">
      <xdr:nvCxnSpPr>
        <xdr:cNvPr id="21" name="Gerade Verbindung 20"/>
        <xdr:cNvCxnSpPr/>
      </xdr:nvCxnSpPr>
      <xdr:spPr>
        <a:xfrm rot="10800000" flipH="1">
          <a:off x="7091099" y="2271978"/>
          <a:ext cx="5028" cy="291385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20</xdr:row>
      <xdr:rowOff>200024</xdr:rowOff>
    </xdr:from>
    <xdr:to>
      <xdr:col>0</xdr:col>
      <xdr:colOff>222251</xdr:colOff>
      <xdr:row>34</xdr:row>
      <xdr:rowOff>85726</xdr:rowOff>
    </xdr:to>
    <xdr:grpSp>
      <xdr:nvGrpSpPr>
        <xdr:cNvPr id="38" name="Gruppierung 37"/>
        <xdr:cNvGrpSpPr/>
      </xdr:nvGrpSpPr>
      <xdr:grpSpPr>
        <a:xfrm>
          <a:off x="101600" y="3268344"/>
          <a:ext cx="120651" cy="2303782"/>
          <a:chOff x="101600" y="2879724"/>
          <a:chExt cx="120651" cy="2298702"/>
        </a:xfrm>
      </xdr:grpSpPr>
      <xdr:cxnSp macro="">
        <xdr:nvCxnSpPr>
          <xdr:cNvPr id="22" name="Gerade Verbindung 21"/>
          <xdr:cNvCxnSpPr/>
        </xdr:nvCxnSpPr>
        <xdr:spPr>
          <a:xfrm rot="10800000" flipV="1">
            <a:off x="101600" y="287972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" name="Gerade Verbindung 25"/>
          <xdr:cNvCxnSpPr/>
        </xdr:nvCxnSpPr>
        <xdr:spPr>
          <a:xfrm rot="10800000">
            <a:off x="107950" y="403225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" name="Gerade Verbindung 26"/>
          <xdr:cNvCxnSpPr/>
        </xdr:nvCxnSpPr>
        <xdr:spPr>
          <a:xfrm rot="10800000">
            <a:off x="104778" y="517842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120650</xdr:colOff>
      <xdr:row>20</xdr:row>
      <xdr:rowOff>200024</xdr:rowOff>
    </xdr:from>
    <xdr:to>
      <xdr:col>3</xdr:col>
      <xdr:colOff>1</xdr:colOff>
      <xdr:row>34</xdr:row>
      <xdr:rowOff>85726</xdr:rowOff>
    </xdr:to>
    <xdr:grpSp>
      <xdr:nvGrpSpPr>
        <xdr:cNvPr id="39" name="Gruppierung 38"/>
        <xdr:cNvGrpSpPr/>
      </xdr:nvGrpSpPr>
      <xdr:grpSpPr>
        <a:xfrm>
          <a:off x="1837690" y="3268344"/>
          <a:ext cx="123191" cy="2303782"/>
          <a:chOff x="0" y="0"/>
          <a:chExt cx="120651" cy="2298702"/>
        </a:xfrm>
      </xdr:grpSpPr>
      <xdr:cxnSp macro="">
        <xdr:nvCxnSpPr>
          <xdr:cNvPr id="40" name="Gerade Verbindung 39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Gerade Verbindung 40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2" name="Gerade Verbindung 41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21</xdr:row>
      <xdr:rowOff>3175</xdr:rowOff>
    </xdr:from>
    <xdr:to>
      <xdr:col>4</xdr:col>
      <xdr:colOff>273051</xdr:colOff>
      <xdr:row>34</xdr:row>
      <xdr:rowOff>92077</xdr:rowOff>
    </xdr:to>
    <xdr:grpSp>
      <xdr:nvGrpSpPr>
        <xdr:cNvPr id="45" name="Gruppierung 44"/>
        <xdr:cNvGrpSpPr/>
      </xdr:nvGrpSpPr>
      <xdr:grpSpPr>
        <a:xfrm>
          <a:off x="3596640" y="3274695"/>
          <a:ext cx="120651" cy="2303782"/>
          <a:chOff x="0" y="0"/>
          <a:chExt cx="120651" cy="2298702"/>
        </a:xfrm>
      </xdr:grpSpPr>
      <xdr:cxnSp macro="">
        <xdr:nvCxnSpPr>
          <xdr:cNvPr id="46" name="Gerade Verbindung 45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7" name="Gerade Verbindung 46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Gerade Verbindung 47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139700</xdr:colOff>
      <xdr:row>21</xdr:row>
      <xdr:rowOff>3175</xdr:rowOff>
    </xdr:from>
    <xdr:to>
      <xdr:col>6</xdr:col>
      <xdr:colOff>260351</xdr:colOff>
      <xdr:row>34</xdr:row>
      <xdr:rowOff>92077</xdr:rowOff>
    </xdr:to>
    <xdr:grpSp>
      <xdr:nvGrpSpPr>
        <xdr:cNvPr id="49" name="Gruppierung 48"/>
        <xdr:cNvGrpSpPr/>
      </xdr:nvGrpSpPr>
      <xdr:grpSpPr>
        <a:xfrm>
          <a:off x="5351780" y="3274695"/>
          <a:ext cx="120651" cy="2303782"/>
          <a:chOff x="0" y="0"/>
          <a:chExt cx="120651" cy="2298702"/>
        </a:xfrm>
      </xdr:grpSpPr>
      <xdr:cxnSp macro="">
        <xdr:nvCxnSpPr>
          <xdr:cNvPr id="50" name="Gerade Verbindung 49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1" name="Gerade Verbindung 50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2" name="Gerade Verbindung 51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130175</xdr:colOff>
      <xdr:row>21</xdr:row>
      <xdr:rowOff>0</xdr:rowOff>
    </xdr:from>
    <xdr:to>
      <xdr:col>8</xdr:col>
      <xdr:colOff>250826</xdr:colOff>
      <xdr:row>34</xdr:row>
      <xdr:rowOff>88902</xdr:rowOff>
    </xdr:to>
    <xdr:grpSp>
      <xdr:nvGrpSpPr>
        <xdr:cNvPr id="53" name="Gruppierung 52"/>
        <xdr:cNvGrpSpPr/>
      </xdr:nvGrpSpPr>
      <xdr:grpSpPr>
        <a:xfrm>
          <a:off x="7089775" y="3271520"/>
          <a:ext cx="120651" cy="2303782"/>
          <a:chOff x="0" y="0"/>
          <a:chExt cx="120651" cy="2298702"/>
        </a:xfrm>
      </xdr:grpSpPr>
      <xdr:cxnSp macro="">
        <xdr:nvCxnSpPr>
          <xdr:cNvPr id="54" name="Gerade Verbindung 53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5" name="Gerade Verbindung 54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6" name="Gerade Verbindung 55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717550</xdr:colOff>
      <xdr:row>7</xdr:row>
      <xdr:rowOff>0</xdr:rowOff>
    </xdr:from>
    <xdr:to>
      <xdr:col>5</xdr:col>
      <xdr:colOff>718344</xdr:colOff>
      <xdr:row>8</xdr:row>
      <xdr:rowOff>0</xdr:rowOff>
    </xdr:to>
    <xdr:cxnSp macro="">
      <xdr:nvCxnSpPr>
        <xdr:cNvPr id="3" name="Gerade Verbindung 2"/>
        <xdr:cNvCxnSpPr/>
      </xdr:nvCxnSpPr>
      <xdr:spPr>
        <a:xfrm rot="5400000">
          <a:off x="4353719" y="2009775"/>
          <a:ext cx="170656" cy="794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7</xdr:row>
      <xdr:rowOff>160867</xdr:rowOff>
    </xdr:from>
    <xdr:to>
      <xdr:col>6</xdr:col>
      <xdr:colOff>142240</xdr:colOff>
      <xdr:row>7</xdr:row>
      <xdr:rowOff>160867</xdr:rowOff>
    </xdr:to>
    <xdr:cxnSp macro="">
      <xdr:nvCxnSpPr>
        <xdr:cNvPr id="4" name="Gerade Verbindung 3"/>
        <xdr:cNvCxnSpPr/>
      </xdr:nvCxnSpPr>
      <xdr:spPr>
        <a:xfrm>
          <a:off x="101600" y="1420707"/>
          <a:ext cx="5252720" cy="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105040</xdr:colOff>
      <xdr:row>7</xdr:row>
      <xdr:rowOff>155311</xdr:rowOff>
    </xdr:from>
    <xdr:to>
      <xdr:col>0</xdr:col>
      <xdr:colOff>105040</xdr:colOff>
      <xdr:row>30</xdr:row>
      <xdr:rowOff>158750</xdr:rowOff>
    </xdr:to>
    <xdr:cxnSp macro="">
      <xdr:nvCxnSpPr>
        <xdr:cNvPr id="5" name="Gerade Verbindung 4"/>
        <xdr:cNvCxnSpPr/>
      </xdr:nvCxnSpPr>
      <xdr:spPr>
        <a:xfrm>
          <a:off x="105040" y="1412611"/>
          <a:ext cx="0" cy="4092839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118537</xdr:colOff>
      <xdr:row>8</xdr:row>
      <xdr:rowOff>2916</xdr:rowOff>
    </xdr:from>
    <xdr:to>
      <xdr:col>2</xdr:col>
      <xdr:colOff>118537</xdr:colOff>
      <xdr:row>27</xdr:row>
      <xdr:rowOff>82550</xdr:rowOff>
    </xdr:to>
    <xdr:cxnSp macro="">
      <xdr:nvCxnSpPr>
        <xdr:cNvPr id="6" name="Gerade Verbindung 5"/>
        <xdr:cNvCxnSpPr/>
      </xdr:nvCxnSpPr>
      <xdr:spPr>
        <a:xfrm flipV="1">
          <a:off x="1833037" y="1425316"/>
          <a:ext cx="0" cy="3419734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156635</xdr:colOff>
      <xdr:row>7</xdr:row>
      <xdr:rowOff>163780</xdr:rowOff>
    </xdr:from>
    <xdr:to>
      <xdr:col>4</xdr:col>
      <xdr:colOff>156635</xdr:colOff>
      <xdr:row>27</xdr:row>
      <xdr:rowOff>95250</xdr:rowOff>
    </xdr:to>
    <xdr:cxnSp macro="">
      <xdr:nvCxnSpPr>
        <xdr:cNvPr id="7" name="Gerade Verbindung 6"/>
        <xdr:cNvCxnSpPr/>
      </xdr:nvCxnSpPr>
      <xdr:spPr>
        <a:xfrm flipV="1">
          <a:off x="3598335" y="1421080"/>
          <a:ext cx="0" cy="34366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143935</xdr:colOff>
      <xdr:row>7</xdr:row>
      <xdr:rowOff>163780</xdr:rowOff>
    </xdr:from>
    <xdr:to>
      <xdr:col>6</xdr:col>
      <xdr:colOff>143935</xdr:colOff>
      <xdr:row>27</xdr:row>
      <xdr:rowOff>95250</xdr:rowOff>
    </xdr:to>
    <xdr:cxnSp macro="">
      <xdr:nvCxnSpPr>
        <xdr:cNvPr id="8" name="Gerade Verbindung 7"/>
        <xdr:cNvCxnSpPr/>
      </xdr:nvCxnSpPr>
      <xdr:spPr>
        <a:xfrm flipV="1">
          <a:off x="5350935" y="1421080"/>
          <a:ext cx="0" cy="34366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13</xdr:row>
      <xdr:rowOff>200024</xdr:rowOff>
    </xdr:from>
    <xdr:to>
      <xdr:col>0</xdr:col>
      <xdr:colOff>222251</xdr:colOff>
      <xdr:row>27</xdr:row>
      <xdr:rowOff>85726</xdr:rowOff>
    </xdr:to>
    <xdr:grpSp>
      <xdr:nvGrpSpPr>
        <xdr:cNvPr id="10" name="Gruppierung 9"/>
        <xdr:cNvGrpSpPr/>
      </xdr:nvGrpSpPr>
      <xdr:grpSpPr>
        <a:xfrm>
          <a:off x="101600" y="2475864"/>
          <a:ext cx="120651" cy="2385062"/>
          <a:chOff x="101600" y="2879724"/>
          <a:chExt cx="120651" cy="2298702"/>
        </a:xfrm>
      </xdr:grpSpPr>
      <xdr:cxnSp macro="">
        <xdr:nvCxnSpPr>
          <xdr:cNvPr id="11" name="Gerade Verbindung 10"/>
          <xdr:cNvCxnSpPr/>
        </xdr:nvCxnSpPr>
        <xdr:spPr>
          <a:xfrm rot="10800000" flipV="1">
            <a:off x="101600" y="287972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" name="Gerade Verbindung 11"/>
          <xdr:cNvCxnSpPr/>
        </xdr:nvCxnSpPr>
        <xdr:spPr>
          <a:xfrm rot="10800000">
            <a:off x="107950" y="403225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Gerade Verbindung 12"/>
          <xdr:cNvCxnSpPr/>
        </xdr:nvCxnSpPr>
        <xdr:spPr>
          <a:xfrm rot="10800000">
            <a:off x="104778" y="517842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120650</xdr:colOff>
      <xdr:row>13</xdr:row>
      <xdr:rowOff>200024</xdr:rowOff>
    </xdr:from>
    <xdr:to>
      <xdr:col>3</xdr:col>
      <xdr:colOff>1</xdr:colOff>
      <xdr:row>27</xdr:row>
      <xdr:rowOff>85726</xdr:rowOff>
    </xdr:to>
    <xdr:grpSp>
      <xdr:nvGrpSpPr>
        <xdr:cNvPr id="14" name="Gruppierung 13"/>
        <xdr:cNvGrpSpPr/>
      </xdr:nvGrpSpPr>
      <xdr:grpSpPr>
        <a:xfrm>
          <a:off x="1837690" y="2475864"/>
          <a:ext cx="123191" cy="2385062"/>
          <a:chOff x="0" y="0"/>
          <a:chExt cx="120651" cy="2298702"/>
        </a:xfrm>
      </xdr:grpSpPr>
      <xdr:cxnSp macro="">
        <xdr:nvCxnSpPr>
          <xdr:cNvPr id="15" name="Gerade Verbindung 14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6" name="Gerade Verbindung 15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7" name="Gerade Verbindung 16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152400</xdr:colOff>
      <xdr:row>14</xdr:row>
      <xdr:rowOff>3175</xdr:rowOff>
    </xdr:from>
    <xdr:to>
      <xdr:col>4</xdr:col>
      <xdr:colOff>273051</xdr:colOff>
      <xdr:row>27</xdr:row>
      <xdr:rowOff>92077</xdr:rowOff>
    </xdr:to>
    <xdr:grpSp>
      <xdr:nvGrpSpPr>
        <xdr:cNvPr id="18" name="Gruppierung 17"/>
        <xdr:cNvGrpSpPr/>
      </xdr:nvGrpSpPr>
      <xdr:grpSpPr>
        <a:xfrm>
          <a:off x="3596640" y="2482215"/>
          <a:ext cx="120651" cy="2385062"/>
          <a:chOff x="0" y="0"/>
          <a:chExt cx="120651" cy="2298702"/>
        </a:xfrm>
      </xdr:grpSpPr>
      <xdr:cxnSp macro="">
        <xdr:nvCxnSpPr>
          <xdr:cNvPr id="19" name="Gerade Verbindung 18"/>
          <xdr:cNvCxnSpPr/>
        </xdr:nvCxnSpPr>
        <xdr:spPr>
          <a:xfrm rot="10800000" flipV="1">
            <a:off x="0" y="0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Gerade Verbindung 19"/>
          <xdr:cNvCxnSpPr/>
        </xdr:nvCxnSpPr>
        <xdr:spPr>
          <a:xfrm rot="10800000">
            <a:off x="6350" y="1152526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1" name="Gerade Verbindung 20"/>
          <xdr:cNvCxnSpPr/>
        </xdr:nvCxnSpPr>
        <xdr:spPr>
          <a:xfrm rot="10800000">
            <a:off x="3178" y="2298701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139700</xdr:colOff>
      <xdr:row>14</xdr:row>
      <xdr:rowOff>3175</xdr:rowOff>
    </xdr:from>
    <xdr:to>
      <xdr:col>6</xdr:col>
      <xdr:colOff>260350</xdr:colOff>
      <xdr:row>14</xdr:row>
      <xdr:rowOff>3176</xdr:rowOff>
    </xdr:to>
    <xdr:cxnSp macro="">
      <xdr:nvCxnSpPr>
        <xdr:cNvPr id="23" name="Gerade Verbindung 22"/>
        <xdr:cNvCxnSpPr/>
      </xdr:nvCxnSpPr>
      <xdr:spPr>
        <a:xfrm rot="10800000" flipV="1">
          <a:off x="5346700" y="2466975"/>
          <a:ext cx="120650" cy="1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146050</xdr:colOff>
      <xdr:row>20</xdr:row>
      <xdr:rowOff>158874</xdr:rowOff>
    </xdr:from>
    <xdr:to>
      <xdr:col>6</xdr:col>
      <xdr:colOff>260350</xdr:colOff>
      <xdr:row>20</xdr:row>
      <xdr:rowOff>160523</xdr:rowOff>
    </xdr:to>
    <xdr:cxnSp macro="">
      <xdr:nvCxnSpPr>
        <xdr:cNvPr id="24" name="Gerade Verbindung 23"/>
        <xdr:cNvCxnSpPr/>
      </xdr:nvCxnSpPr>
      <xdr:spPr>
        <a:xfrm rot="10800000">
          <a:off x="5353050" y="3664074"/>
          <a:ext cx="114300" cy="1649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142878</xdr:colOff>
      <xdr:row>27</xdr:row>
      <xdr:rowOff>92076</xdr:rowOff>
    </xdr:from>
    <xdr:to>
      <xdr:col>6</xdr:col>
      <xdr:colOff>260351</xdr:colOff>
      <xdr:row>27</xdr:row>
      <xdr:rowOff>92077</xdr:rowOff>
    </xdr:to>
    <xdr:cxnSp macro="">
      <xdr:nvCxnSpPr>
        <xdr:cNvPr id="25" name="Gerade Verbindung 24"/>
        <xdr:cNvCxnSpPr/>
      </xdr:nvCxnSpPr>
      <xdr:spPr>
        <a:xfrm rot="10800000">
          <a:off x="5349878" y="4854576"/>
          <a:ext cx="117473" cy="1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101601</xdr:colOff>
      <xdr:row>30</xdr:row>
      <xdr:rowOff>158750</xdr:rowOff>
    </xdr:from>
    <xdr:to>
      <xdr:col>9</xdr:col>
      <xdr:colOff>768350</xdr:colOff>
      <xdr:row>30</xdr:row>
      <xdr:rowOff>158751</xdr:rowOff>
    </xdr:to>
    <xdr:cxnSp macro="">
      <xdr:nvCxnSpPr>
        <xdr:cNvPr id="34" name="Gerade Verbindung 33"/>
        <xdr:cNvCxnSpPr/>
      </xdr:nvCxnSpPr>
      <xdr:spPr>
        <a:xfrm flipH="1">
          <a:off x="101601" y="5505450"/>
          <a:ext cx="7880349" cy="1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746124</xdr:colOff>
      <xdr:row>31</xdr:row>
      <xdr:rowOff>2</xdr:rowOff>
    </xdr:from>
    <xdr:to>
      <xdr:col>3</xdr:col>
      <xdr:colOff>746124</xdr:colOff>
      <xdr:row>31</xdr:row>
      <xdr:rowOff>171450</xdr:rowOff>
    </xdr:to>
    <xdr:cxnSp macro="">
      <xdr:nvCxnSpPr>
        <xdr:cNvPr id="38" name="Gerade Verbindung 37"/>
        <xdr:cNvCxnSpPr/>
      </xdr:nvCxnSpPr>
      <xdr:spPr>
        <a:xfrm>
          <a:off x="2701924" y="5511802"/>
          <a:ext cx="0" cy="171448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746124</xdr:colOff>
      <xdr:row>30</xdr:row>
      <xdr:rowOff>152400</xdr:rowOff>
    </xdr:from>
    <xdr:to>
      <xdr:col>5</xdr:col>
      <xdr:colOff>746124</xdr:colOff>
      <xdr:row>32</xdr:row>
      <xdr:rowOff>6350</xdr:rowOff>
    </xdr:to>
    <xdr:cxnSp macro="">
      <xdr:nvCxnSpPr>
        <xdr:cNvPr id="42" name="Gerade Verbindung 41"/>
        <xdr:cNvCxnSpPr/>
      </xdr:nvCxnSpPr>
      <xdr:spPr>
        <a:xfrm>
          <a:off x="4467224" y="5499100"/>
          <a:ext cx="0" cy="19685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746124</xdr:colOff>
      <xdr:row>30</xdr:row>
      <xdr:rowOff>158750</xdr:rowOff>
    </xdr:from>
    <xdr:to>
      <xdr:col>7</xdr:col>
      <xdr:colOff>746124</xdr:colOff>
      <xdr:row>31</xdr:row>
      <xdr:rowOff>171450</xdr:rowOff>
    </xdr:to>
    <xdr:cxnSp macro="">
      <xdr:nvCxnSpPr>
        <xdr:cNvPr id="44" name="Gerade Verbindung 43"/>
        <xdr:cNvCxnSpPr/>
      </xdr:nvCxnSpPr>
      <xdr:spPr>
        <a:xfrm>
          <a:off x="6219824" y="5505450"/>
          <a:ext cx="0" cy="17780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762000</xdr:colOff>
      <xdr:row>30</xdr:row>
      <xdr:rowOff>152400</xdr:rowOff>
    </xdr:from>
    <xdr:to>
      <xdr:col>9</xdr:col>
      <xdr:colOff>762000</xdr:colOff>
      <xdr:row>32</xdr:row>
      <xdr:rowOff>6350</xdr:rowOff>
    </xdr:to>
    <xdr:cxnSp macro="">
      <xdr:nvCxnSpPr>
        <xdr:cNvPr id="46" name="Gerade Verbindung 45"/>
        <xdr:cNvCxnSpPr/>
      </xdr:nvCxnSpPr>
      <xdr:spPr>
        <a:xfrm>
          <a:off x="7975600" y="5499100"/>
          <a:ext cx="0" cy="19685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739774</xdr:colOff>
      <xdr:row>30</xdr:row>
      <xdr:rowOff>152400</xdr:rowOff>
    </xdr:from>
    <xdr:to>
      <xdr:col>1</xdr:col>
      <xdr:colOff>739774</xdr:colOff>
      <xdr:row>32</xdr:row>
      <xdr:rowOff>0</xdr:rowOff>
    </xdr:to>
    <xdr:cxnSp macro="">
      <xdr:nvCxnSpPr>
        <xdr:cNvPr id="47" name="Gerade Verbindung 46"/>
        <xdr:cNvCxnSpPr/>
      </xdr:nvCxnSpPr>
      <xdr:spPr>
        <a:xfrm>
          <a:off x="968374" y="5499100"/>
          <a:ext cx="0" cy="190500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151130</xdr:colOff>
      <xdr:row>7</xdr:row>
      <xdr:rowOff>0</xdr:rowOff>
    </xdr:from>
    <xdr:to>
      <xdr:col>8</xdr:col>
      <xdr:colOff>151924</xdr:colOff>
      <xdr:row>8</xdr:row>
      <xdr:rowOff>0</xdr:rowOff>
    </xdr:to>
    <xdr:cxnSp macro="">
      <xdr:nvCxnSpPr>
        <xdr:cNvPr id="2" name="Gerade Verbindung 1"/>
        <xdr:cNvCxnSpPr/>
      </xdr:nvCxnSpPr>
      <xdr:spPr>
        <a:xfrm rot="5400000">
          <a:off x="7028577" y="1301353"/>
          <a:ext cx="165100" cy="794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7</xdr:row>
      <xdr:rowOff>152400</xdr:rowOff>
    </xdr:from>
    <xdr:to>
      <xdr:col>22</xdr:col>
      <xdr:colOff>139700</xdr:colOff>
      <xdr:row>7</xdr:row>
      <xdr:rowOff>160868</xdr:rowOff>
    </xdr:to>
    <xdr:cxnSp macro="">
      <xdr:nvCxnSpPr>
        <xdr:cNvPr id="3" name="Gerade Verbindung 2"/>
        <xdr:cNvCxnSpPr/>
      </xdr:nvCxnSpPr>
      <xdr:spPr>
        <a:xfrm flipV="1">
          <a:off x="101600" y="1371600"/>
          <a:ext cx="19177000" cy="8468"/>
        </a:xfrm>
        <a:prstGeom prst="line">
          <a:avLst/>
        </a:prstGeom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101600</xdr:colOff>
      <xdr:row>7</xdr:row>
      <xdr:rowOff>155310</xdr:rowOff>
    </xdr:from>
    <xdr:to>
      <xdr:col>0</xdr:col>
      <xdr:colOff>222251</xdr:colOff>
      <xdr:row>77</xdr:row>
      <xdr:rowOff>101599</xdr:rowOff>
    </xdr:to>
    <xdr:grpSp>
      <xdr:nvGrpSpPr>
        <xdr:cNvPr id="42" name="Gruppierung 41"/>
        <xdr:cNvGrpSpPr/>
      </xdr:nvGrpSpPr>
      <xdr:grpSpPr>
        <a:xfrm>
          <a:off x="101600" y="1272910"/>
          <a:ext cx="120651" cy="12443089"/>
          <a:chOff x="101600" y="1374510"/>
          <a:chExt cx="120651" cy="11985889"/>
        </a:xfrm>
      </xdr:grpSpPr>
      <xdr:cxnSp macro="">
        <xdr:nvCxnSpPr>
          <xdr:cNvPr id="4" name="Gerade Verbindung 3"/>
          <xdr:cNvCxnSpPr/>
        </xdr:nvCxnSpPr>
        <xdr:spPr>
          <a:xfrm rot="5400000">
            <a:off x="-5889624" y="736573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9" name="Gruppierung 8"/>
          <xdr:cNvGrpSpPr/>
        </xdr:nvGrpSpPr>
        <xdr:grpSpPr>
          <a:xfrm>
            <a:off x="101600" y="2447924"/>
            <a:ext cx="120651" cy="2400302"/>
            <a:chOff x="101600" y="2879724"/>
            <a:chExt cx="120651" cy="2298702"/>
          </a:xfrm>
        </xdr:grpSpPr>
        <xdr:cxnSp macro="">
          <xdr:nvCxnSpPr>
            <xdr:cNvPr id="10" name="Gerade Verbindung 9"/>
            <xdr:cNvCxnSpPr/>
          </xdr:nvCxnSpPr>
          <xdr:spPr>
            <a:xfrm rot="10800000" flipV="1">
              <a:off x="101600" y="287972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" name="Gerade Verbindung 10"/>
            <xdr:cNvCxnSpPr/>
          </xdr:nvCxnSpPr>
          <xdr:spPr>
            <a:xfrm rot="10800000">
              <a:off x="107950" y="403225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" name="Gerade Verbindung 11"/>
            <xdr:cNvCxnSpPr/>
          </xdr:nvCxnSpPr>
          <xdr:spPr>
            <a:xfrm rot="10800000">
              <a:off x="104778" y="517842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33" name="Gruppierung 32"/>
          <xdr:cNvGrpSpPr/>
        </xdr:nvGrpSpPr>
        <xdr:grpSpPr>
          <a:xfrm>
            <a:off x="101600" y="6130924"/>
            <a:ext cx="120651" cy="2298702"/>
            <a:chOff x="0" y="0"/>
            <a:chExt cx="120651" cy="2298702"/>
          </a:xfrm>
        </xdr:grpSpPr>
        <xdr:cxnSp macro="">
          <xdr:nvCxnSpPr>
            <xdr:cNvPr id="34" name="Gerade Verbindung 33"/>
            <xdr:cNvCxnSpPr/>
          </xdr:nvCxnSpPr>
          <xdr:spPr>
            <a:xfrm rot="10800000" flipV="1">
              <a:off x="0" y="0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5" name="Gerade Verbindung 34"/>
            <xdr:cNvCxnSpPr/>
          </xdr:nvCxnSpPr>
          <xdr:spPr>
            <a:xfrm rot="10800000">
              <a:off x="6350" y="1152526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36" name="Gerade Verbindung 35"/>
            <xdr:cNvCxnSpPr/>
          </xdr:nvCxnSpPr>
          <xdr:spPr>
            <a:xfrm rot="10800000">
              <a:off x="3178" y="2298701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38" name="Gerade Verbindung 37"/>
          <xdr:cNvCxnSpPr/>
        </xdr:nvCxnSpPr>
        <xdr:spPr>
          <a:xfrm rot="10800000" flipV="1">
            <a:off x="101600" y="980757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9" name="Gerade Verbindung 38"/>
          <xdr:cNvCxnSpPr/>
        </xdr:nvCxnSpPr>
        <xdr:spPr>
          <a:xfrm rot="10800000">
            <a:off x="107950" y="1096010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0" name="Gerade Verbindung 39"/>
          <xdr:cNvCxnSpPr/>
        </xdr:nvCxnSpPr>
        <xdr:spPr>
          <a:xfrm rot="10800000">
            <a:off x="104778" y="1210627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1" name="Gerade Verbindung 40"/>
          <xdr:cNvCxnSpPr/>
        </xdr:nvCxnSpPr>
        <xdr:spPr>
          <a:xfrm rot="10800000">
            <a:off x="104778" y="1335722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107950</xdr:colOff>
      <xdr:row>8</xdr:row>
      <xdr:rowOff>2910</xdr:rowOff>
    </xdr:from>
    <xdr:to>
      <xdr:col>2</xdr:col>
      <xdr:colOff>228601</xdr:colOff>
      <xdr:row>77</xdr:row>
      <xdr:rowOff>114299</xdr:rowOff>
    </xdr:to>
    <xdr:grpSp>
      <xdr:nvGrpSpPr>
        <xdr:cNvPr id="43" name="Gruppierung 42"/>
        <xdr:cNvGrpSpPr/>
      </xdr:nvGrpSpPr>
      <xdr:grpSpPr>
        <a:xfrm>
          <a:off x="1822450" y="1285610"/>
          <a:ext cx="120651" cy="12443089"/>
          <a:chOff x="0" y="0"/>
          <a:chExt cx="120651" cy="11985889"/>
        </a:xfrm>
      </xdr:grpSpPr>
      <xdr:cxnSp macro="">
        <xdr:nvCxnSpPr>
          <xdr:cNvPr id="44" name="Gerade Verbindung 43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45" name="Gruppierung 44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54" name="Gerade Verbindung 53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5" name="Gerade Verbindung 54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6" name="Gerade Verbindung 55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46" name="Gruppierung 45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51" name="Gerade Verbindung 50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2" name="Gerade Verbindung 51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53" name="Gerade Verbindung 52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47" name="Gerade Verbindung 46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8" name="Gerade Verbindung 47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49" name="Gerade Verbindung 48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50" name="Gerade Verbindung 49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146050</xdr:colOff>
      <xdr:row>8</xdr:row>
      <xdr:rowOff>2910</xdr:rowOff>
    </xdr:from>
    <xdr:to>
      <xdr:col>4</xdr:col>
      <xdr:colOff>266701</xdr:colOff>
      <xdr:row>77</xdr:row>
      <xdr:rowOff>114299</xdr:rowOff>
    </xdr:to>
    <xdr:grpSp>
      <xdr:nvGrpSpPr>
        <xdr:cNvPr id="57" name="Gruppierung 56"/>
        <xdr:cNvGrpSpPr/>
      </xdr:nvGrpSpPr>
      <xdr:grpSpPr>
        <a:xfrm>
          <a:off x="3587750" y="1285610"/>
          <a:ext cx="120651" cy="12443089"/>
          <a:chOff x="0" y="0"/>
          <a:chExt cx="120651" cy="11985889"/>
        </a:xfrm>
      </xdr:grpSpPr>
      <xdr:cxnSp macro="">
        <xdr:nvCxnSpPr>
          <xdr:cNvPr id="58" name="Gerade Verbindung 57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59" name="Gruppierung 58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68" name="Gerade Verbindung 67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9" name="Gerade Verbindung 68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0" name="Gerade Verbindung 69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60" name="Gruppierung 59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65" name="Gerade Verbindung 64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6" name="Gerade Verbindung 65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67" name="Gerade Verbindung 66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61" name="Gerade Verbindung 60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2" name="Gerade Verbindung 61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3" name="Gerade Verbindung 62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64" name="Gerade Verbindung 63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133350</xdr:colOff>
      <xdr:row>7</xdr:row>
      <xdr:rowOff>161660</xdr:rowOff>
    </xdr:from>
    <xdr:to>
      <xdr:col>6</xdr:col>
      <xdr:colOff>254001</xdr:colOff>
      <xdr:row>77</xdr:row>
      <xdr:rowOff>107949</xdr:rowOff>
    </xdr:to>
    <xdr:grpSp>
      <xdr:nvGrpSpPr>
        <xdr:cNvPr id="71" name="Gruppierung 70"/>
        <xdr:cNvGrpSpPr/>
      </xdr:nvGrpSpPr>
      <xdr:grpSpPr>
        <a:xfrm>
          <a:off x="5340350" y="1279260"/>
          <a:ext cx="120651" cy="12443089"/>
          <a:chOff x="0" y="0"/>
          <a:chExt cx="120651" cy="11985889"/>
        </a:xfrm>
      </xdr:grpSpPr>
      <xdr:cxnSp macro="">
        <xdr:nvCxnSpPr>
          <xdr:cNvPr id="72" name="Gerade Verbindung 71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73" name="Gruppierung 72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82" name="Gerade Verbindung 81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3" name="Gerade Verbindung 82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4" name="Gerade Verbindung 83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74" name="Gruppierung 73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79" name="Gerade Verbindung 78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0" name="Gerade Verbindung 79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81" name="Gerade Verbindung 80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75" name="Gerade Verbindung 74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6" name="Gerade Verbindung 75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7" name="Gerade Verbindung 76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78" name="Gerade Verbindung 77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133350</xdr:colOff>
      <xdr:row>7</xdr:row>
      <xdr:rowOff>161660</xdr:rowOff>
    </xdr:from>
    <xdr:to>
      <xdr:col>9</xdr:col>
      <xdr:colOff>1</xdr:colOff>
      <xdr:row>77</xdr:row>
      <xdr:rowOff>107949</xdr:rowOff>
    </xdr:to>
    <xdr:grpSp>
      <xdr:nvGrpSpPr>
        <xdr:cNvPr id="85" name="Gruppierung 84"/>
        <xdr:cNvGrpSpPr/>
      </xdr:nvGrpSpPr>
      <xdr:grpSpPr>
        <a:xfrm>
          <a:off x="7092950" y="1279260"/>
          <a:ext cx="120651" cy="12443089"/>
          <a:chOff x="0" y="0"/>
          <a:chExt cx="120651" cy="11985889"/>
        </a:xfrm>
      </xdr:grpSpPr>
      <xdr:cxnSp macro="">
        <xdr:nvCxnSpPr>
          <xdr:cNvPr id="86" name="Gerade Verbindung 85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87" name="Gruppierung 86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96" name="Gerade Verbindung 95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7" name="Gerade Verbindung 96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8" name="Gerade Verbindung 97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88" name="Gruppierung 87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93" name="Gerade Verbindung 92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4" name="Gerade Verbindung 93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95" name="Gerade Verbindung 94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89" name="Gerade Verbindung 88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0" name="Gerade Verbindung 89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1" name="Gerade Verbindung 90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2" name="Gerade Verbindung 91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120650</xdr:colOff>
      <xdr:row>8</xdr:row>
      <xdr:rowOff>9260</xdr:rowOff>
    </xdr:from>
    <xdr:to>
      <xdr:col>10</xdr:col>
      <xdr:colOff>241301</xdr:colOff>
      <xdr:row>77</xdr:row>
      <xdr:rowOff>120649</xdr:rowOff>
    </xdr:to>
    <xdr:grpSp>
      <xdr:nvGrpSpPr>
        <xdr:cNvPr id="99" name="Gruppierung 98"/>
        <xdr:cNvGrpSpPr/>
      </xdr:nvGrpSpPr>
      <xdr:grpSpPr>
        <a:xfrm>
          <a:off x="8820150" y="1291960"/>
          <a:ext cx="120651" cy="12443089"/>
          <a:chOff x="0" y="0"/>
          <a:chExt cx="120651" cy="11985889"/>
        </a:xfrm>
      </xdr:grpSpPr>
      <xdr:cxnSp macro="">
        <xdr:nvCxnSpPr>
          <xdr:cNvPr id="100" name="Gerade Verbindung 99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01" name="Gruppierung 100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110" name="Gerade Verbindung 109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1" name="Gerade Verbindung 110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12" name="Gerade Verbindung 111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02" name="Gruppierung 101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107" name="Gerade Verbindung 106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8" name="Gerade Verbindung 107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09" name="Gerade Verbindung 108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03" name="Gerade Verbindung 102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4" name="Gerade Verbindung 103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5" name="Gerade Verbindung 104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6" name="Gerade Verbindung 105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12</xdr:col>
      <xdr:colOff>120650</xdr:colOff>
      <xdr:row>8</xdr:row>
      <xdr:rowOff>2910</xdr:rowOff>
    </xdr:from>
    <xdr:to>
      <xdr:col>12</xdr:col>
      <xdr:colOff>241301</xdr:colOff>
      <xdr:row>77</xdr:row>
      <xdr:rowOff>114299</xdr:rowOff>
    </xdr:to>
    <xdr:grpSp>
      <xdr:nvGrpSpPr>
        <xdr:cNvPr id="113" name="Gruppierung 112"/>
        <xdr:cNvGrpSpPr/>
      </xdr:nvGrpSpPr>
      <xdr:grpSpPr>
        <a:xfrm>
          <a:off x="10560050" y="1285610"/>
          <a:ext cx="120651" cy="12443089"/>
          <a:chOff x="0" y="0"/>
          <a:chExt cx="120651" cy="11985889"/>
        </a:xfrm>
      </xdr:grpSpPr>
      <xdr:cxnSp macro="">
        <xdr:nvCxnSpPr>
          <xdr:cNvPr id="114" name="Gerade Verbindung 113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15" name="Gruppierung 114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124" name="Gerade Verbindung 123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5" name="Gerade Verbindung 124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6" name="Gerade Verbindung 125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16" name="Gruppierung 115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121" name="Gerade Verbindung 120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2" name="Gerade Verbindung 121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23" name="Gerade Verbindung 122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17" name="Gerade Verbindung 116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8" name="Gerade Verbindung 117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9" name="Gerade Verbindung 118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20" name="Gerade Verbindung 119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127000</xdr:colOff>
      <xdr:row>8</xdr:row>
      <xdr:rowOff>2910</xdr:rowOff>
    </xdr:from>
    <xdr:to>
      <xdr:col>14</xdr:col>
      <xdr:colOff>247651</xdr:colOff>
      <xdr:row>77</xdr:row>
      <xdr:rowOff>114299</xdr:rowOff>
    </xdr:to>
    <xdr:grpSp>
      <xdr:nvGrpSpPr>
        <xdr:cNvPr id="127" name="Gruppierung 126"/>
        <xdr:cNvGrpSpPr/>
      </xdr:nvGrpSpPr>
      <xdr:grpSpPr>
        <a:xfrm>
          <a:off x="12306300" y="1285610"/>
          <a:ext cx="120651" cy="12443089"/>
          <a:chOff x="0" y="0"/>
          <a:chExt cx="120651" cy="11985889"/>
        </a:xfrm>
      </xdr:grpSpPr>
      <xdr:cxnSp macro="">
        <xdr:nvCxnSpPr>
          <xdr:cNvPr id="128" name="Gerade Verbindung 127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129" name="Gruppierung 128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138" name="Gerade Verbindung 137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9" name="Gerade Verbindung 138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0" name="Gerade Verbindung 139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130" name="Gruppierung 129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135" name="Gerade Verbindung 134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6" name="Gerade Verbindung 135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37" name="Gerade Verbindung 136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131" name="Gerade Verbindung 130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2" name="Gerade Verbindung 131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3" name="Gerade Verbindung 132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4" name="Gerade Verbindung 133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21</xdr:col>
      <xdr:colOff>0</xdr:colOff>
      <xdr:row>13</xdr:row>
      <xdr:rowOff>110838</xdr:rowOff>
    </xdr:from>
    <xdr:to>
      <xdr:col>21</xdr:col>
      <xdr:colOff>0</xdr:colOff>
      <xdr:row>77</xdr:row>
      <xdr:rowOff>110998</xdr:rowOff>
    </xdr:to>
    <xdr:grpSp>
      <xdr:nvGrpSpPr>
        <xdr:cNvPr id="197" name="Gruppierung 196"/>
        <xdr:cNvGrpSpPr/>
      </xdr:nvGrpSpPr>
      <xdr:grpSpPr>
        <a:xfrm>
          <a:off x="17653000" y="2269838"/>
          <a:ext cx="0" cy="11455560"/>
          <a:chOff x="0" y="946133"/>
          <a:chExt cx="120651" cy="11036583"/>
        </a:xfrm>
      </xdr:grpSpPr>
      <xdr:grpSp>
        <xdr:nvGrpSpPr>
          <xdr:cNvPr id="199" name="Gruppierung 128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208" name="Gerade Verbindung 207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9" name="Gerade Verbindung 208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0" name="Gerade Verbindung 209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00" name="Gruppierung 129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205" name="Gerade Verbindung 204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6" name="Gerade Verbindung 205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07" name="Gerade Verbindung 206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01" name="Gerade Verbindung 200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2" name="Gerade Verbindung 201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3" name="Gerade Verbindung 202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4" name="Gerade Verbindung 203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16</xdr:col>
      <xdr:colOff>127000</xdr:colOff>
      <xdr:row>7</xdr:row>
      <xdr:rowOff>161660</xdr:rowOff>
    </xdr:from>
    <xdr:to>
      <xdr:col>16</xdr:col>
      <xdr:colOff>247651</xdr:colOff>
      <xdr:row>77</xdr:row>
      <xdr:rowOff>107949</xdr:rowOff>
    </xdr:to>
    <xdr:grpSp>
      <xdr:nvGrpSpPr>
        <xdr:cNvPr id="226" name="Gruppierung 225"/>
        <xdr:cNvGrpSpPr/>
      </xdr:nvGrpSpPr>
      <xdr:grpSpPr>
        <a:xfrm>
          <a:off x="14046200" y="1279260"/>
          <a:ext cx="120651" cy="12443089"/>
          <a:chOff x="0" y="0"/>
          <a:chExt cx="120651" cy="11985889"/>
        </a:xfrm>
      </xdr:grpSpPr>
      <xdr:cxnSp macro="">
        <xdr:nvCxnSpPr>
          <xdr:cNvPr id="227" name="Gerade Verbindung 226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28" name="Gruppierung 227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237" name="Gerade Verbindung 236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8" name="Gerade Verbindung 237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9" name="Gerade Verbindung 238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29" name="Gruppierung 228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234" name="Gerade Verbindung 233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5" name="Gerade Verbindung 234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36" name="Gerade Verbindung 235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30" name="Gerade Verbindung 229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1" name="Gerade Verbindung 230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2" name="Gerade Verbindung 231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3" name="Gerade Verbindung 232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120650</xdr:colOff>
      <xdr:row>7</xdr:row>
      <xdr:rowOff>155310</xdr:rowOff>
    </xdr:from>
    <xdr:to>
      <xdr:col>18</xdr:col>
      <xdr:colOff>241301</xdr:colOff>
      <xdr:row>77</xdr:row>
      <xdr:rowOff>101599</xdr:rowOff>
    </xdr:to>
    <xdr:grpSp>
      <xdr:nvGrpSpPr>
        <xdr:cNvPr id="240" name="Gruppierung 239"/>
        <xdr:cNvGrpSpPr/>
      </xdr:nvGrpSpPr>
      <xdr:grpSpPr>
        <a:xfrm>
          <a:off x="15779750" y="1272910"/>
          <a:ext cx="120651" cy="12443089"/>
          <a:chOff x="0" y="0"/>
          <a:chExt cx="120651" cy="11985889"/>
        </a:xfrm>
      </xdr:grpSpPr>
      <xdr:cxnSp macro="">
        <xdr:nvCxnSpPr>
          <xdr:cNvPr id="241" name="Gerade Verbindung 240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42" name="Gruppierung 241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251" name="Gerade Verbindung 250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2" name="Gerade Verbindung 251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3" name="Gerade Verbindung 252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43" name="Gruppierung 242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248" name="Gerade Verbindung 247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49" name="Gerade Verbindung 248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50" name="Gerade Verbindung 249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44" name="Gerade Verbindung 243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5" name="Gerade Verbindung 244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6" name="Gerade Verbindung 245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7" name="Gerade Verbindung 246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20</xdr:col>
      <xdr:colOff>127000</xdr:colOff>
      <xdr:row>7</xdr:row>
      <xdr:rowOff>148960</xdr:rowOff>
    </xdr:from>
    <xdr:to>
      <xdr:col>20</xdr:col>
      <xdr:colOff>247651</xdr:colOff>
      <xdr:row>77</xdr:row>
      <xdr:rowOff>95249</xdr:rowOff>
    </xdr:to>
    <xdr:grpSp>
      <xdr:nvGrpSpPr>
        <xdr:cNvPr id="254" name="Gruppierung 253"/>
        <xdr:cNvGrpSpPr/>
      </xdr:nvGrpSpPr>
      <xdr:grpSpPr>
        <a:xfrm>
          <a:off x="17526000" y="1266560"/>
          <a:ext cx="120651" cy="12443089"/>
          <a:chOff x="0" y="0"/>
          <a:chExt cx="120651" cy="11985889"/>
        </a:xfrm>
      </xdr:grpSpPr>
      <xdr:cxnSp macro="">
        <xdr:nvCxnSpPr>
          <xdr:cNvPr id="255" name="Gerade Verbindung 254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56" name="Gruppierung 255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265" name="Gerade Verbindung 264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6" name="Gerade Verbindung 265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7" name="Gerade Verbindung 266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57" name="Gruppierung 256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262" name="Gerade Verbindung 261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3" name="Gerade Verbindung 262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64" name="Gerade Verbindung 263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58" name="Gerade Verbindung 257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9" name="Gerade Verbindung 258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0" name="Gerade Verbindung 259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61" name="Gerade Verbindung 260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120650</xdr:colOff>
      <xdr:row>7</xdr:row>
      <xdr:rowOff>148960</xdr:rowOff>
    </xdr:from>
    <xdr:to>
      <xdr:col>22</xdr:col>
      <xdr:colOff>241301</xdr:colOff>
      <xdr:row>77</xdr:row>
      <xdr:rowOff>95249</xdr:rowOff>
    </xdr:to>
    <xdr:grpSp>
      <xdr:nvGrpSpPr>
        <xdr:cNvPr id="268" name="Gruppierung 267"/>
        <xdr:cNvGrpSpPr/>
      </xdr:nvGrpSpPr>
      <xdr:grpSpPr>
        <a:xfrm>
          <a:off x="19259550" y="1266560"/>
          <a:ext cx="120651" cy="12443089"/>
          <a:chOff x="0" y="0"/>
          <a:chExt cx="120651" cy="11985889"/>
        </a:xfrm>
      </xdr:grpSpPr>
      <xdr:cxnSp macro="">
        <xdr:nvCxnSpPr>
          <xdr:cNvPr id="269" name="Gerade Verbindung 268"/>
          <xdr:cNvCxnSpPr/>
        </xdr:nvCxnSpPr>
        <xdr:spPr>
          <a:xfrm rot="5400000">
            <a:off x="-5991224" y="5991225"/>
            <a:ext cx="11985889" cy="344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grpSp>
        <xdr:nvGrpSpPr>
          <xdr:cNvPr id="270" name="Gruppierung 269"/>
          <xdr:cNvGrpSpPr/>
        </xdr:nvGrpSpPr>
        <xdr:grpSpPr>
          <a:xfrm>
            <a:off x="0" y="946133"/>
            <a:ext cx="120651" cy="2298702"/>
            <a:chOff x="0" y="946133"/>
            <a:chExt cx="120651" cy="2298702"/>
          </a:xfrm>
        </xdr:grpSpPr>
        <xdr:cxnSp macro="">
          <xdr:nvCxnSpPr>
            <xdr:cNvPr id="279" name="Gerade Verbindung 278"/>
            <xdr:cNvCxnSpPr/>
          </xdr:nvCxnSpPr>
          <xdr:spPr>
            <a:xfrm rot="10800000" flipV="1">
              <a:off x="0" y="946133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0" name="Gerade Verbindung 279"/>
            <xdr:cNvCxnSpPr/>
          </xdr:nvCxnSpPr>
          <xdr:spPr>
            <a:xfrm rot="10800000">
              <a:off x="6350" y="2098659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81" name="Gerade Verbindung 280"/>
            <xdr:cNvCxnSpPr/>
          </xdr:nvCxnSpPr>
          <xdr:spPr>
            <a:xfrm rot="10800000">
              <a:off x="3178" y="3244834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grpSp>
        <xdr:nvGrpSpPr>
          <xdr:cNvPr id="271" name="Gruppierung 270"/>
          <xdr:cNvGrpSpPr/>
        </xdr:nvGrpSpPr>
        <xdr:grpSpPr>
          <a:xfrm>
            <a:off x="0" y="4756414"/>
            <a:ext cx="120651" cy="2298702"/>
            <a:chOff x="0" y="4756414"/>
            <a:chExt cx="120651" cy="2298702"/>
          </a:xfrm>
        </xdr:grpSpPr>
        <xdr:cxnSp macro="">
          <xdr:nvCxnSpPr>
            <xdr:cNvPr id="276" name="Gerade Verbindung 275"/>
            <xdr:cNvCxnSpPr/>
          </xdr:nvCxnSpPr>
          <xdr:spPr>
            <a:xfrm rot="10800000" flipV="1">
              <a:off x="0" y="4756414"/>
              <a:ext cx="120650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7" name="Gerade Verbindung 276"/>
            <xdr:cNvCxnSpPr/>
          </xdr:nvCxnSpPr>
          <xdr:spPr>
            <a:xfrm rot="10800000">
              <a:off x="6350" y="5908940"/>
              <a:ext cx="114300" cy="1588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78" name="Gerade Verbindung 277"/>
            <xdr:cNvCxnSpPr/>
          </xdr:nvCxnSpPr>
          <xdr:spPr>
            <a:xfrm rot="10800000">
              <a:off x="3178" y="7055115"/>
              <a:ext cx="117473" cy="1"/>
            </a:xfrm>
            <a:prstGeom prst="line">
              <a:avLst/>
            </a:prstGeom>
            <a:ln>
              <a:solidFill>
                <a:srgbClr val="000000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  <xdr:cxnSp macro="">
        <xdr:nvCxnSpPr>
          <xdr:cNvPr id="272" name="Gerade Verbindung 271"/>
          <xdr:cNvCxnSpPr/>
        </xdr:nvCxnSpPr>
        <xdr:spPr>
          <a:xfrm rot="10800000" flipV="1">
            <a:off x="0" y="8433064"/>
            <a:ext cx="120650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3" name="Gerade Verbindung 272"/>
          <xdr:cNvCxnSpPr/>
        </xdr:nvCxnSpPr>
        <xdr:spPr>
          <a:xfrm rot="10800000">
            <a:off x="6350" y="9585590"/>
            <a:ext cx="114300" cy="1588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4" name="Gerade Verbindung 273"/>
          <xdr:cNvCxnSpPr/>
        </xdr:nvCxnSpPr>
        <xdr:spPr>
          <a:xfrm rot="10800000">
            <a:off x="3178" y="1073176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75" name="Gerade Verbindung 274"/>
          <xdr:cNvCxnSpPr/>
        </xdr:nvCxnSpPr>
        <xdr:spPr>
          <a:xfrm rot="10800000">
            <a:off x="3178" y="11982715"/>
            <a:ext cx="117473" cy="1"/>
          </a:xfrm>
          <a:prstGeom prst="line">
            <a:avLst/>
          </a:prstGeom>
          <a:ln>
            <a:solidFill>
              <a:srgbClr val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F23" sqref="F23"/>
    </sheetView>
  </sheetViews>
  <sheetFormatPr baseColWidth="10" defaultRowHeight="13" x14ac:dyDescent="0"/>
  <sheetData>
    <row r="1" spans="1:6" ht="18">
      <c r="A1" s="2" t="s">
        <v>127</v>
      </c>
    </row>
    <row r="2" spans="1:6">
      <c r="A2" s="1"/>
    </row>
    <row r="3" spans="1:6">
      <c r="A3" s="57" t="s">
        <v>167</v>
      </c>
    </row>
    <row r="4" spans="1:6">
      <c r="A4" s="1" t="s">
        <v>30</v>
      </c>
    </row>
    <row r="5" spans="1:6">
      <c r="A5" s="58" t="s">
        <v>168</v>
      </c>
    </row>
    <row r="7" spans="1:6">
      <c r="A7" s="1" t="s">
        <v>31</v>
      </c>
      <c r="F7" s="29" t="s">
        <v>92</v>
      </c>
    </row>
    <row r="8" spans="1:6">
      <c r="F8" s="29" t="s">
        <v>114</v>
      </c>
    </row>
    <row r="9" spans="1:6">
      <c r="F9" s="29" t="s">
        <v>170</v>
      </c>
    </row>
    <row r="10" spans="1:6">
      <c r="F10" t="s">
        <v>47</v>
      </c>
    </row>
    <row r="11" spans="1:6">
      <c r="F11" s="122" t="s">
        <v>46</v>
      </c>
    </row>
    <row r="12" spans="1:6">
      <c r="F12" t="s">
        <v>48</v>
      </c>
    </row>
    <row r="13" spans="1:6">
      <c r="F13" s="143" t="s">
        <v>27</v>
      </c>
    </row>
    <row r="14" spans="1:6">
      <c r="F14" t="s">
        <v>49</v>
      </c>
    </row>
    <row r="15" spans="1:6">
      <c r="F15" t="s">
        <v>10</v>
      </c>
    </row>
    <row r="16" spans="1:6">
      <c r="F16" s="143" t="s">
        <v>28</v>
      </c>
    </row>
    <row r="18" spans="1:3">
      <c r="A18" t="s">
        <v>124</v>
      </c>
    </row>
    <row r="19" spans="1:3">
      <c r="A19" t="s">
        <v>125</v>
      </c>
      <c r="C19" t="s">
        <v>126</v>
      </c>
    </row>
  </sheetData>
  <phoneticPr fontId="5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="125" workbookViewId="0">
      <selection activeCell="O7" sqref="O7"/>
    </sheetView>
  </sheetViews>
  <sheetFormatPr baseColWidth="10" defaultRowHeight="13" x14ac:dyDescent="0"/>
  <cols>
    <col min="1" max="1" width="1" style="16" customWidth="1"/>
    <col min="2" max="2" width="30" style="16" customWidth="1"/>
    <col min="3" max="3" width="1" style="16" customWidth="1"/>
    <col min="4" max="4" width="25.5703125" style="16" customWidth="1"/>
    <col min="5" max="5" width="10.7109375" style="16"/>
    <col min="6" max="6" width="1.140625" style="16" customWidth="1"/>
    <col min="7" max="14" width="0.85546875" style="16" customWidth="1"/>
    <col min="15" max="16384" width="10.7109375" style="16"/>
  </cols>
  <sheetData>
    <row r="1" spans="1:6" ht="18" customHeight="1">
      <c r="A1" s="13"/>
      <c r="B1" s="184" t="s">
        <v>325</v>
      </c>
      <c r="C1" s="13"/>
      <c r="D1" s="14"/>
      <c r="E1" s="13"/>
      <c r="F1" s="15"/>
    </row>
    <row r="2" spans="1:6" ht="14" customHeight="1">
      <c r="A2" s="17"/>
      <c r="B2" s="19"/>
      <c r="C2" s="17"/>
      <c r="D2" s="24" t="s">
        <v>123</v>
      </c>
      <c r="E2" s="17" t="s">
        <v>129</v>
      </c>
      <c r="F2" s="20"/>
    </row>
    <row r="3" spans="1:6" ht="56" customHeight="1" thickBot="1">
      <c r="A3" s="17"/>
      <c r="B3" s="18" t="s">
        <v>128</v>
      </c>
      <c r="C3" s="17"/>
      <c r="D3" s="54" t="s">
        <v>58</v>
      </c>
      <c r="E3" s="17"/>
      <c r="F3" s="20"/>
    </row>
    <row r="4" spans="1:6">
      <c r="A4" s="13"/>
      <c r="B4" s="52" t="s">
        <v>163</v>
      </c>
      <c r="C4" s="13"/>
      <c r="D4" s="52" t="s">
        <v>162</v>
      </c>
      <c r="E4" s="53" t="s">
        <v>164</v>
      </c>
      <c r="F4" s="15"/>
    </row>
    <row r="5" spans="1:6" ht="24" customHeight="1" thickBot="1">
      <c r="A5" s="21"/>
      <c r="B5" s="55" t="s">
        <v>165</v>
      </c>
      <c r="C5" s="21"/>
      <c r="D5" s="55" t="s">
        <v>169</v>
      </c>
      <c r="E5" s="56" t="s">
        <v>166</v>
      </c>
      <c r="F5" s="23"/>
    </row>
    <row r="6" spans="1:6" ht="17" thickBot="1">
      <c r="A6" s="21"/>
      <c r="B6" s="25" t="s">
        <v>161</v>
      </c>
      <c r="C6" s="21"/>
      <c r="D6" s="50" t="s">
        <v>160</v>
      </c>
      <c r="E6" s="50"/>
      <c r="F6" s="23"/>
    </row>
    <row r="7" spans="1:6" ht="155" customHeight="1" thickBot="1">
      <c r="A7" s="26"/>
      <c r="B7" s="146" t="s">
        <v>158</v>
      </c>
      <c r="C7" s="147"/>
      <c r="D7" s="147"/>
      <c r="E7" s="147"/>
      <c r="F7" s="28"/>
    </row>
    <row r="8" spans="1:6" ht="94" customHeight="1" thickBot="1">
      <c r="A8" s="26"/>
      <c r="B8" s="146" t="s">
        <v>159</v>
      </c>
      <c r="C8" s="147"/>
      <c r="D8" s="147"/>
      <c r="E8" s="147"/>
      <c r="F8" s="28"/>
    </row>
    <row r="9" spans="1:6" ht="103" customHeight="1" thickBot="1">
      <c r="A9" s="26"/>
      <c r="B9" s="146" t="s">
        <v>315</v>
      </c>
      <c r="C9" s="147"/>
      <c r="D9" s="147"/>
      <c r="E9" s="147"/>
      <c r="F9" s="28"/>
    </row>
    <row r="10" spans="1:6" ht="101" customHeight="1" thickBot="1">
      <c r="A10" s="26"/>
      <c r="B10" s="27" t="s">
        <v>316</v>
      </c>
      <c r="C10" s="26"/>
      <c r="D10" s="146" t="s">
        <v>142</v>
      </c>
      <c r="E10" s="147"/>
      <c r="F10" s="28"/>
    </row>
    <row r="11" spans="1:6" ht="94" customHeight="1" thickBot="1">
      <c r="A11" s="26"/>
      <c r="B11" s="27" t="s">
        <v>143</v>
      </c>
      <c r="C11" s="26"/>
      <c r="D11" s="146" t="s">
        <v>32</v>
      </c>
      <c r="E11" s="147"/>
      <c r="F11" s="28"/>
    </row>
    <row r="12" spans="1:6" ht="47" customHeight="1">
      <c r="A12" s="17"/>
      <c r="B12" s="144" t="s">
        <v>33</v>
      </c>
      <c r="C12" s="145"/>
      <c r="D12" s="145"/>
      <c r="E12" s="145"/>
      <c r="F12" s="20"/>
    </row>
    <row r="13" spans="1:6" ht="5" customHeight="1" thickBot="1">
      <c r="A13" s="21"/>
      <c r="B13" s="22"/>
      <c r="C13" s="22"/>
      <c r="D13" s="22"/>
      <c r="E13" s="22"/>
      <c r="F13" s="23"/>
    </row>
  </sheetData>
  <mergeCells count="6">
    <mergeCell ref="B12:E12"/>
    <mergeCell ref="B7:E7"/>
    <mergeCell ref="B8:E8"/>
    <mergeCell ref="D10:E10"/>
    <mergeCell ref="D11:E11"/>
    <mergeCell ref="B9:E9"/>
  </mergeCells>
  <phoneticPr fontId="5" type="noConversion"/>
  <pageMargins left="0.75196850393700787" right="0.75196850393700787" top="0.79921259842519676" bottom="0.79921259842519676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25" workbookViewId="0">
      <selection activeCell="M11" sqref="M11"/>
    </sheetView>
  </sheetViews>
  <sheetFormatPr baseColWidth="10" defaultRowHeight="13" x14ac:dyDescent="0"/>
  <cols>
    <col min="1" max="1" width="2.5703125" customWidth="1"/>
    <col min="2" max="2" width="16.7109375" style="30" customWidth="1"/>
    <col min="3" max="3" width="2.7109375" style="30" customWidth="1"/>
    <col min="4" max="4" width="16.7109375" style="30" customWidth="1"/>
    <col min="5" max="5" width="3.140625" style="30" customWidth="1"/>
    <col min="6" max="6" width="16.7109375" style="30" customWidth="1"/>
    <col min="7" max="7" width="3" style="30" customWidth="1"/>
    <col min="8" max="8" width="16.7109375" style="30" customWidth="1"/>
    <col min="9" max="9" width="2.85546875" style="30" customWidth="1"/>
    <col min="10" max="10" width="16.7109375" style="30" customWidth="1"/>
    <col min="11" max="11" width="2.7109375" customWidth="1"/>
  </cols>
  <sheetData>
    <row r="1" spans="1:11" ht="17" customHeight="1">
      <c r="A1" s="4"/>
      <c r="B1" s="183" t="s">
        <v>323</v>
      </c>
      <c r="C1" s="37"/>
      <c r="D1" s="37"/>
      <c r="E1" s="37"/>
      <c r="F1" s="37"/>
      <c r="G1" s="37"/>
      <c r="H1" s="37"/>
      <c r="I1" s="37"/>
      <c r="J1" s="37"/>
      <c r="K1" s="6"/>
    </row>
    <row r="2" spans="1:11" ht="15" customHeight="1" thickBot="1">
      <c r="A2" s="7"/>
      <c r="B2" s="35"/>
      <c r="C2" s="35"/>
      <c r="D2" s="35"/>
      <c r="E2" s="35"/>
      <c r="F2" s="35"/>
      <c r="G2" s="35"/>
      <c r="H2" s="35"/>
      <c r="I2" s="35"/>
      <c r="J2" s="35"/>
      <c r="K2" s="8"/>
    </row>
    <row r="3" spans="1:11">
      <c r="A3" s="7"/>
      <c r="B3" s="13" t="s">
        <v>111</v>
      </c>
      <c r="C3" s="37"/>
      <c r="D3" s="38"/>
      <c r="E3" s="35"/>
      <c r="F3" s="31" t="s">
        <v>29</v>
      </c>
      <c r="G3" s="35"/>
      <c r="H3" s="35"/>
      <c r="I3" s="35"/>
      <c r="J3" s="44" t="s">
        <v>112</v>
      </c>
      <c r="K3" s="8"/>
    </row>
    <row r="4" spans="1:11" ht="12" customHeight="1">
      <c r="A4" s="7"/>
      <c r="B4" s="39"/>
      <c r="C4" s="35"/>
      <c r="D4" s="40"/>
      <c r="E4" s="35"/>
      <c r="F4" s="32"/>
      <c r="G4" s="35"/>
      <c r="H4" s="35"/>
      <c r="I4" s="35"/>
      <c r="J4" s="186">
        <v>41357</v>
      </c>
      <c r="K4" s="8"/>
    </row>
    <row r="5" spans="1:11" ht="16">
      <c r="A5" s="7"/>
      <c r="B5" s="148" t="str">
        <f>Projektsteckbrief!D3</f>
        <v>Hausbau X</v>
      </c>
      <c r="C5" s="149"/>
      <c r="D5" s="150"/>
      <c r="E5" s="35"/>
      <c r="F5" s="59" t="str">
        <f>Projektsteckbrief!B5</f>
        <v>Dr. Eduard Chef</v>
      </c>
      <c r="G5" s="36"/>
      <c r="H5" s="35"/>
      <c r="I5" s="35"/>
      <c r="J5" s="45" t="s">
        <v>113</v>
      </c>
      <c r="K5" s="8"/>
    </row>
    <row r="6" spans="1:11" ht="16">
      <c r="A6" s="7"/>
      <c r="B6" s="151"/>
      <c r="C6" s="149"/>
      <c r="D6" s="150"/>
      <c r="E6" s="35"/>
      <c r="F6" s="33" t="s">
        <v>95</v>
      </c>
      <c r="G6" s="36"/>
      <c r="H6" s="35"/>
      <c r="I6" s="35"/>
      <c r="J6" s="185" t="s">
        <v>337</v>
      </c>
      <c r="K6" s="8"/>
    </row>
    <row r="7" spans="1:11" ht="6" customHeight="1" thickBot="1">
      <c r="A7" s="7"/>
      <c r="B7" s="41"/>
      <c r="C7" s="42"/>
      <c r="D7" s="43"/>
      <c r="E7" s="35"/>
      <c r="F7" s="34"/>
      <c r="G7" s="35"/>
      <c r="H7" s="35"/>
      <c r="I7" s="35"/>
      <c r="J7" s="34"/>
      <c r="K7" s="8"/>
    </row>
    <row r="8" spans="1:11" ht="12" customHeight="1">
      <c r="A8" s="7"/>
      <c r="B8" s="35"/>
      <c r="C8" s="35"/>
      <c r="D8" s="35"/>
      <c r="E8" s="35"/>
      <c r="F8" s="35"/>
      <c r="G8" s="35"/>
      <c r="H8" s="35"/>
      <c r="I8" s="35"/>
      <c r="J8" s="35"/>
      <c r="K8" s="8"/>
    </row>
    <row r="9" spans="1:11" ht="6" customHeight="1" thickBot="1">
      <c r="A9" s="7"/>
      <c r="B9" s="35"/>
      <c r="C9" s="35"/>
      <c r="D9" s="35"/>
      <c r="E9" s="35"/>
      <c r="F9" s="35"/>
      <c r="G9" s="35"/>
      <c r="H9" s="35"/>
      <c r="I9" s="35"/>
      <c r="J9" s="35"/>
      <c r="K9" s="8"/>
    </row>
    <row r="10" spans="1:11">
      <c r="A10" s="7"/>
      <c r="B10" s="35"/>
      <c r="C10" s="35"/>
      <c r="D10" s="35"/>
      <c r="E10" s="35"/>
      <c r="F10" s="31" t="s">
        <v>324</v>
      </c>
      <c r="G10" s="35"/>
      <c r="H10" s="35"/>
      <c r="I10" s="35"/>
      <c r="J10" s="35"/>
      <c r="K10" s="8"/>
    </row>
    <row r="11" spans="1:11" ht="5" customHeight="1">
      <c r="A11" s="7"/>
      <c r="B11" s="35"/>
      <c r="C11" s="35"/>
      <c r="D11" s="35"/>
      <c r="E11" s="35"/>
      <c r="F11" s="32"/>
      <c r="G11" s="35"/>
      <c r="H11" s="35"/>
      <c r="I11" s="35"/>
      <c r="J11" s="35"/>
      <c r="K11" s="8"/>
    </row>
    <row r="12" spans="1:11" ht="16">
      <c r="A12" s="7"/>
      <c r="B12" s="35"/>
      <c r="C12" s="35"/>
      <c r="D12" s="35"/>
      <c r="E12" s="35"/>
      <c r="F12" s="59" t="str">
        <f>Projektsteckbrief!D5</f>
        <v>Karl Könner</v>
      </c>
      <c r="G12" s="36"/>
      <c r="H12" s="35"/>
      <c r="I12" s="35"/>
      <c r="J12" s="35"/>
      <c r="K12" s="8"/>
    </row>
    <row r="13" spans="1:11" ht="16">
      <c r="A13" s="7"/>
      <c r="B13" s="35"/>
      <c r="C13" s="35"/>
      <c r="D13" s="35"/>
      <c r="E13" s="35"/>
      <c r="F13" s="33" t="s">
        <v>95</v>
      </c>
      <c r="G13" s="36"/>
      <c r="H13" s="35"/>
      <c r="I13" s="35"/>
      <c r="J13" s="35"/>
      <c r="K13" s="8"/>
    </row>
    <row r="14" spans="1:11" ht="5" customHeight="1" thickBot="1">
      <c r="A14" s="7"/>
      <c r="B14" s="35"/>
      <c r="C14" s="35"/>
      <c r="D14" s="35"/>
      <c r="E14" s="35"/>
      <c r="F14" s="34"/>
      <c r="G14" s="35"/>
      <c r="H14" s="35"/>
      <c r="I14" s="35"/>
      <c r="J14" s="35"/>
      <c r="K14" s="8"/>
    </row>
    <row r="15" spans="1:11">
      <c r="A15" s="7"/>
      <c r="B15" s="35"/>
      <c r="C15" s="35"/>
      <c r="D15" s="35"/>
      <c r="E15" s="35"/>
      <c r="F15" s="35"/>
      <c r="G15" s="35"/>
      <c r="H15" s="35"/>
      <c r="I15" s="35"/>
      <c r="J15" s="35"/>
      <c r="K15" s="8"/>
    </row>
    <row r="16" spans="1:11" ht="14" thickBot="1">
      <c r="A16" s="7"/>
      <c r="B16" s="35"/>
      <c r="C16" s="35"/>
      <c r="D16" s="35"/>
      <c r="E16" s="35"/>
      <c r="F16" s="35"/>
      <c r="G16" s="35"/>
      <c r="H16" s="35"/>
      <c r="I16" s="35"/>
      <c r="J16" s="35"/>
      <c r="K16" s="8"/>
    </row>
    <row r="17" spans="1:11" ht="14" thickBot="1">
      <c r="A17" s="7"/>
      <c r="B17" s="46" t="s">
        <v>317</v>
      </c>
      <c r="C17" s="35"/>
      <c r="D17" s="47" t="s">
        <v>318</v>
      </c>
      <c r="E17" s="35"/>
      <c r="F17" s="48" t="s">
        <v>319</v>
      </c>
      <c r="G17" s="35"/>
      <c r="H17" s="49" t="s">
        <v>320</v>
      </c>
      <c r="I17" s="35"/>
      <c r="J17" s="51" t="s">
        <v>321</v>
      </c>
      <c r="K17" s="8"/>
    </row>
    <row r="18" spans="1:11" ht="14" thickBot="1">
      <c r="A18" s="7"/>
      <c r="B18" s="35"/>
      <c r="C18" s="35"/>
      <c r="D18" s="35"/>
      <c r="E18" s="35"/>
      <c r="F18" s="35"/>
      <c r="G18" s="35"/>
      <c r="H18" s="35"/>
      <c r="I18" s="35"/>
      <c r="J18" s="35"/>
      <c r="K18" s="8"/>
    </row>
    <row r="19" spans="1:11">
      <c r="A19" s="7"/>
      <c r="B19" s="31" t="s">
        <v>110</v>
      </c>
      <c r="C19" s="35"/>
      <c r="D19" s="31" t="s">
        <v>110</v>
      </c>
      <c r="E19" s="35"/>
      <c r="F19" s="31" t="s">
        <v>110</v>
      </c>
      <c r="G19" s="35"/>
      <c r="H19" s="31" t="s">
        <v>110</v>
      </c>
      <c r="I19" s="35"/>
      <c r="J19" s="31" t="s">
        <v>110</v>
      </c>
      <c r="K19" s="8"/>
    </row>
    <row r="20" spans="1:11" ht="5" customHeight="1">
      <c r="A20" s="7"/>
      <c r="B20" s="32"/>
      <c r="C20" s="35"/>
      <c r="D20" s="32"/>
      <c r="E20" s="35"/>
      <c r="F20" s="32"/>
      <c r="G20" s="35"/>
      <c r="H20" s="32"/>
      <c r="I20" s="35"/>
      <c r="J20" s="32"/>
      <c r="K20" s="8"/>
    </row>
    <row r="21" spans="1:11" ht="16">
      <c r="A21" s="7"/>
      <c r="B21" s="33" t="s">
        <v>93</v>
      </c>
      <c r="C21" s="36"/>
      <c r="D21" s="33" t="s">
        <v>93</v>
      </c>
      <c r="E21" s="35"/>
      <c r="F21" s="33" t="s">
        <v>93</v>
      </c>
      <c r="G21" s="36"/>
      <c r="H21" s="33" t="s">
        <v>93</v>
      </c>
      <c r="I21" s="35"/>
      <c r="J21" s="33" t="s">
        <v>93</v>
      </c>
      <c r="K21" s="8"/>
    </row>
    <row r="22" spans="1:11" ht="16">
      <c r="A22" s="7"/>
      <c r="B22" s="33" t="s">
        <v>97</v>
      </c>
      <c r="C22" s="36"/>
      <c r="D22" s="33" t="s">
        <v>97</v>
      </c>
      <c r="E22" s="35"/>
      <c r="F22" s="33" t="s">
        <v>97</v>
      </c>
      <c r="G22" s="36"/>
      <c r="H22" s="33" t="s">
        <v>97</v>
      </c>
      <c r="I22" s="35"/>
      <c r="J22" s="33" t="s">
        <v>97</v>
      </c>
      <c r="K22" s="8"/>
    </row>
    <row r="23" spans="1:11" ht="14" thickBot="1">
      <c r="A23" s="7"/>
      <c r="B23" s="34" t="s">
        <v>98</v>
      </c>
      <c r="C23" s="35"/>
      <c r="D23" s="34" t="s">
        <v>98</v>
      </c>
      <c r="E23" s="35"/>
      <c r="F23" s="34" t="s">
        <v>98</v>
      </c>
      <c r="G23" s="35"/>
      <c r="H23" s="34" t="s">
        <v>98</v>
      </c>
      <c r="I23" s="35"/>
      <c r="J23" s="34" t="s">
        <v>98</v>
      </c>
      <c r="K23" s="8"/>
    </row>
    <row r="24" spans="1:11">
      <c r="A24" s="7"/>
      <c r="B24" s="35"/>
      <c r="C24" s="35"/>
      <c r="D24" s="35"/>
      <c r="E24" s="35"/>
      <c r="F24" s="35"/>
      <c r="G24" s="35"/>
      <c r="H24" s="35"/>
      <c r="I24" s="35"/>
      <c r="J24" s="35"/>
      <c r="K24" s="8"/>
    </row>
    <row r="25" spans="1:11" ht="14" thickBot="1">
      <c r="A25" s="7"/>
      <c r="B25" s="35"/>
      <c r="C25" s="35"/>
      <c r="D25" s="35"/>
      <c r="E25" s="35"/>
      <c r="F25" s="35"/>
      <c r="G25" s="35"/>
      <c r="H25" s="35"/>
      <c r="I25" s="35"/>
      <c r="J25" s="35"/>
      <c r="K25" s="8"/>
    </row>
    <row r="26" spans="1:11">
      <c r="A26" s="7"/>
      <c r="B26" s="31" t="s">
        <v>110</v>
      </c>
      <c r="C26" s="35"/>
      <c r="D26" s="31" t="s">
        <v>110</v>
      </c>
      <c r="E26" s="35"/>
      <c r="F26" s="31" t="s">
        <v>110</v>
      </c>
      <c r="G26" s="35"/>
      <c r="H26" s="31" t="s">
        <v>110</v>
      </c>
      <c r="I26" s="35"/>
      <c r="J26" s="31" t="s">
        <v>110</v>
      </c>
      <c r="K26" s="8"/>
    </row>
    <row r="27" spans="1:11" ht="5" customHeight="1">
      <c r="A27" s="7"/>
      <c r="B27" s="32"/>
      <c r="C27" s="35"/>
      <c r="D27" s="32"/>
      <c r="E27" s="35"/>
      <c r="F27" s="32"/>
      <c r="G27" s="35"/>
      <c r="H27" s="32"/>
      <c r="I27" s="35"/>
      <c r="J27" s="32"/>
      <c r="K27" s="8"/>
    </row>
    <row r="28" spans="1:11" ht="16">
      <c r="A28" s="7"/>
      <c r="B28" s="33" t="s">
        <v>93</v>
      </c>
      <c r="C28" s="36"/>
      <c r="D28" s="33" t="s">
        <v>93</v>
      </c>
      <c r="E28" s="35"/>
      <c r="F28" s="33" t="s">
        <v>93</v>
      </c>
      <c r="G28" s="36"/>
      <c r="H28" s="33" t="s">
        <v>93</v>
      </c>
      <c r="I28" s="35"/>
      <c r="J28" s="33" t="s">
        <v>93</v>
      </c>
      <c r="K28" s="8"/>
    </row>
    <row r="29" spans="1:11" ht="16">
      <c r="A29" s="7"/>
      <c r="B29" s="33" t="s">
        <v>97</v>
      </c>
      <c r="C29" s="36"/>
      <c r="D29" s="33" t="s">
        <v>97</v>
      </c>
      <c r="E29" s="35"/>
      <c r="F29" s="33" t="s">
        <v>97</v>
      </c>
      <c r="G29" s="36"/>
      <c r="H29" s="33" t="s">
        <v>97</v>
      </c>
      <c r="I29" s="35"/>
      <c r="J29" s="33" t="s">
        <v>97</v>
      </c>
      <c r="K29" s="8"/>
    </row>
    <row r="30" spans="1:11" ht="14" thickBot="1">
      <c r="A30" s="7"/>
      <c r="B30" s="34" t="s">
        <v>98</v>
      </c>
      <c r="C30" s="35"/>
      <c r="D30" s="34" t="s">
        <v>98</v>
      </c>
      <c r="E30" s="35"/>
      <c r="F30" s="34" t="s">
        <v>98</v>
      </c>
      <c r="G30" s="35"/>
      <c r="H30" s="34" t="s">
        <v>98</v>
      </c>
      <c r="I30" s="35"/>
      <c r="J30" s="34" t="s">
        <v>98</v>
      </c>
      <c r="K30" s="8"/>
    </row>
    <row r="31" spans="1:11">
      <c r="A31" s="7"/>
      <c r="B31" s="35"/>
      <c r="C31" s="35"/>
      <c r="D31" s="35"/>
      <c r="E31" s="35"/>
      <c r="F31" s="35"/>
      <c r="G31" s="35"/>
      <c r="H31" s="35"/>
      <c r="I31" s="35"/>
      <c r="J31" s="35"/>
      <c r="K31" s="8"/>
    </row>
    <row r="32" spans="1:11" ht="14" thickBot="1">
      <c r="A32" s="7"/>
      <c r="B32" s="35"/>
      <c r="C32" s="35"/>
      <c r="D32" s="35"/>
      <c r="E32" s="35"/>
      <c r="F32" s="35"/>
      <c r="G32" s="35"/>
      <c r="H32" s="35"/>
      <c r="I32" s="35"/>
      <c r="J32" s="35"/>
      <c r="K32" s="8"/>
    </row>
    <row r="33" spans="1:11">
      <c r="A33" s="7"/>
      <c r="B33" s="31" t="s">
        <v>99</v>
      </c>
      <c r="C33" s="35"/>
      <c r="D33" s="31" t="s">
        <v>99</v>
      </c>
      <c r="E33" s="35"/>
      <c r="F33" s="31" t="s">
        <v>99</v>
      </c>
      <c r="G33" s="35"/>
      <c r="H33" s="31" t="s">
        <v>99</v>
      </c>
      <c r="I33" s="35"/>
      <c r="J33" s="31" t="s">
        <v>99</v>
      </c>
      <c r="K33" s="8"/>
    </row>
    <row r="34" spans="1:11">
      <c r="A34" s="7"/>
      <c r="B34" s="32"/>
      <c r="C34" s="35"/>
      <c r="D34" s="32"/>
      <c r="E34" s="35"/>
      <c r="F34" s="32"/>
      <c r="G34" s="35"/>
      <c r="H34" s="32"/>
      <c r="I34" s="35"/>
      <c r="J34" s="32"/>
      <c r="K34" s="8"/>
    </row>
    <row r="35" spans="1:11" ht="16">
      <c r="A35" s="7"/>
      <c r="B35" s="33" t="s">
        <v>93</v>
      </c>
      <c r="C35" s="36"/>
      <c r="D35" s="33" t="s">
        <v>93</v>
      </c>
      <c r="E35" s="35"/>
      <c r="F35" s="33" t="s">
        <v>93</v>
      </c>
      <c r="G35" s="36"/>
      <c r="H35" s="33" t="s">
        <v>93</v>
      </c>
      <c r="I35" s="35"/>
      <c r="J35" s="33" t="s">
        <v>93</v>
      </c>
      <c r="K35" s="8"/>
    </row>
    <row r="36" spans="1:11" ht="16">
      <c r="A36" s="7"/>
      <c r="B36" s="33" t="s">
        <v>96</v>
      </c>
      <c r="C36" s="36"/>
      <c r="D36" s="33" t="s">
        <v>96</v>
      </c>
      <c r="E36" s="35"/>
      <c r="F36" s="33" t="s">
        <v>96</v>
      </c>
      <c r="G36" s="36"/>
      <c r="H36" s="33" t="s">
        <v>96</v>
      </c>
      <c r="I36" s="35"/>
      <c r="J36" s="33" t="s">
        <v>96</v>
      </c>
      <c r="K36" s="8"/>
    </row>
    <row r="37" spans="1:11" ht="14" thickBot="1">
      <c r="A37" s="7"/>
      <c r="B37" s="34" t="s">
        <v>94</v>
      </c>
      <c r="C37" s="35"/>
      <c r="D37" s="34" t="s">
        <v>94</v>
      </c>
      <c r="E37" s="35"/>
      <c r="F37" s="34" t="s">
        <v>94</v>
      </c>
      <c r="G37" s="35"/>
      <c r="H37" s="34" t="s">
        <v>94</v>
      </c>
      <c r="I37" s="35"/>
      <c r="J37" s="34" t="s">
        <v>94</v>
      </c>
      <c r="K37" s="8"/>
    </row>
    <row r="38" spans="1:11">
      <c r="A38" s="7"/>
      <c r="B38" s="35"/>
      <c r="C38" s="35"/>
      <c r="D38" s="35"/>
      <c r="E38" s="35"/>
      <c r="F38" s="35"/>
      <c r="G38" s="35"/>
      <c r="H38" s="35"/>
      <c r="I38" s="35"/>
      <c r="J38" s="35"/>
      <c r="K38" s="8"/>
    </row>
    <row r="39" spans="1:11" ht="7" customHeight="1" thickBot="1">
      <c r="A39" s="9"/>
      <c r="B39" s="42"/>
      <c r="C39" s="42"/>
      <c r="D39" s="42"/>
      <c r="E39" s="42"/>
      <c r="F39" s="42"/>
      <c r="G39" s="42"/>
      <c r="H39" s="42"/>
      <c r="I39" s="42"/>
      <c r="J39" s="42"/>
      <c r="K39" s="11"/>
    </row>
  </sheetData>
  <mergeCells count="1">
    <mergeCell ref="B5:D6"/>
  </mergeCells>
  <phoneticPr fontId="5" type="noConversion"/>
  <pageMargins left="0.55905511811023623" right="0.55905511811023623" top="0.79921259842519676" bottom="0.79921259842519676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="125" zoomScaleNormal="125" zoomScalePageLayoutView="125" workbookViewId="0">
      <selection activeCell="J4" sqref="J4"/>
    </sheetView>
  </sheetViews>
  <sheetFormatPr baseColWidth="10" defaultRowHeight="13" x14ac:dyDescent="0"/>
  <cols>
    <col min="1" max="1" width="2.5703125" customWidth="1"/>
    <col min="2" max="2" width="16.7109375" style="30" customWidth="1"/>
    <col min="3" max="3" width="2.7109375" style="30" customWidth="1"/>
    <col min="4" max="4" width="16.7109375" style="30" customWidth="1"/>
    <col min="5" max="5" width="3.140625" style="30" customWidth="1"/>
    <col min="6" max="6" width="16.7109375" style="30" customWidth="1"/>
    <col min="7" max="7" width="3" style="30" customWidth="1"/>
    <col min="8" max="8" width="16.7109375" style="30" customWidth="1"/>
    <col min="9" max="9" width="2.85546875" style="30" customWidth="1"/>
    <col min="10" max="10" width="16.7109375" style="30" customWidth="1"/>
    <col min="11" max="11" width="2.7109375" customWidth="1"/>
  </cols>
  <sheetData>
    <row r="1" spans="1:11">
      <c r="A1" s="4"/>
      <c r="B1" s="183" t="s">
        <v>322</v>
      </c>
      <c r="C1" s="37"/>
      <c r="D1" s="37"/>
      <c r="E1" s="37"/>
      <c r="F1" s="37"/>
      <c r="G1" s="37"/>
      <c r="H1" s="37"/>
      <c r="I1" s="37"/>
      <c r="J1" s="37"/>
      <c r="K1" s="6"/>
    </row>
    <row r="2" spans="1:11" ht="14" thickBot="1">
      <c r="A2" s="7"/>
      <c r="B2" s="35"/>
      <c r="C2" s="35"/>
      <c r="D2" s="35"/>
      <c r="E2" s="35"/>
      <c r="F2" s="35"/>
      <c r="G2" s="35"/>
      <c r="H2" s="35"/>
      <c r="I2" s="35"/>
      <c r="J2" s="35"/>
      <c r="K2" s="8"/>
    </row>
    <row r="3" spans="1:11">
      <c r="A3" s="7"/>
      <c r="B3" s="13" t="s">
        <v>111</v>
      </c>
      <c r="C3" s="37"/>
      <c r="D3" s="38"/>
      <c r="E3" s="35"/>
      <c r="F3" s="31" t="s">
        <v>115</v>
      </c>
      <c r="G3" s="35"/>
      <c r="H3" s="44" t="s">
        <v>88</v>
      </c>
      <c r="I3" s="35"/>
      <c r="J3" s="44" t="s">
        <v>112</v>
      </c>
      <c r="K3" s="8"/>
    </row>
    <row r="4" spans="1:11">
      <c r="A4" s="7"/>
      <c r="B4" s="39"/>
      <c r="C4" s="35"/>
      <c r="D4" s="40"/>
      <c r="E4" s="35"/>
      <c r="F4" s="152" t="s">
        <v>338</v>
      </c>
      <c r="G4" s="35"/>
      <c r="H4" s="32"/>
      <c r="I4" s="35"/>
      <c r="J4" s="186">
        <v>41357</v>
      </c>
      <c r="K4" s="8"/>
    </row>
    <row r="5" spans="1:11" ht="16">
      <c r="A5" s="7"/>
      <c r="B5" s="148" t="str">
        <f>Projektsteckbrief!D3</f>
        <v>Hausbau X</v>
      </c>
      <c r="C5" s="149"/>
      <c r="D5" s="150"/>
      <c r="E5" s="35"/>
      <c r="F5" s="152"/>
      <c r="G5" s="36"/>
      <c r="H5" s="68" t="s">
        <v>89</v>
      </c>
      <c r="I5" s="35"/>
      <c r="J5" s="45" t="s">
        <v>113</v>
      </c>
      <c r="K5" s="8"/>
    </row>
    <row r="6" spans="1:11" ht="16">
      <c r="A6" s="7"/>
      <c r="B6" s="151"/>
      <c r="C6" s="149"/>
      <c r="D6" s="150"/>
      <c r="E6" s="35"/>
      <c r="F6" s="152"/>
      <c r="G6" s="36"/>
      <c r="H6" s="69" t="s">
        <v>90</v>
      </c>
      <c r="I6" s="35"/>
      <c r="J6" s="185" t="s">
        <v>337</v>
      </c>
      <c r="K6" s="8"/>
    </row>
    <row r="7" spans="1:11" ht="14" thickBot="1">
      <c r="A7" s="7"/>
      <c r="B7" s="41"/>
      <c r="C7" s="42"/>
      <c r="D7" s="43"/>
      <c r="E7" s="35"/>
      <c r="F7" s="153"/>
      <c r="G7" s="35"/>
      <c r="H7" s="70" t="s">
        <v>91</v>
      </c>
      <c r="I7" s="35"/>
      <c r="J7" s="34"/>
      <c r="K7" s="8"/>
    </row>
    <row r="8" spans="1:11">
      <c r="A8" s="7"/>
      <c r="B8" s="35"/>
      <c r="C8" s="35"/>
      <c r="D8" s="35"/>
      <c r="E8" s="35"/>
      <c r="F8" s="35"/>
      <c r="G8" s="35"/>
      <c r="H8" s="35"/>
      <c r="I8" s="35"/>
      <c r="J8" s="35"/>
      <c r="K8" s="8"/>
    </row>
    <row r="9" spans="1:11" ht="14" thickBot="1">
      <c r="A9" s="7"/>
      <c r="B9" s="35"/>
      <c r="C9" s="35"/>
      <c r="D9" s="35"/>
      <c r="E9" s="35"/>
      <c r="F9" s="35"/>
      <c r="G9" s="35"/>
      <c r="H9" s="35"/>
      <c r="I9" s="35"/>
      <c r="J9" s="35"/>
      <c r="K9" s="8"/>
    </row>
    <row r="10" spans="1:11" ht="14" thickBot="1">
      <c r="A10" s="7"/>
      <c r="B10" s="46" t="s">
        <v>116</v>
      </c>
      <c r="C10" s="35"/>
      <c r="D10" s="47" t="s">
        <v>117</v>
      </c>
      <c r="E10" s="35"/>
      <c r="F10" s="48" t="s">
        <v>118</v>
      </c>
      <c r="G10" s="35"/>
      <c r="H10" s="49" t="s">
        <v>326</v>
      </c>
      <c r="I10" s="35"/>
      <c r="J10" s="51" t="s">
        <v>119</v>
      </c>
      <c r="K10" s="8"/>
    </row>
    <row r="11" spans="1:11">
      <c r="A11" s="7"/>
      <c r="B11" s="35"/>
      <c r="C11" s="35"/>
      <c r="D11" s="35"/>
      <c r="E11" s="35"/>
      <c r="F11" s="35"/>
      <c r="G11" s="35"/>
      <c r="H11" s="35"/>
      <c r="I11" s="35"/>
      <c r="J11" s="35"/>
      <c r="K11" s="8"/>
    </row>
    <row r="12" spans="1:11">
      <c r="A12" s="7"/>
      <c r="B12" s="71" t="s">
        <v>146</v>
      </c>
      <c r="C12" s="35"/>
      <c r="D12" s="72" t="s">
        <v>153</v>
      </c>
      <c r="E12" s="35"/>
      <c r="F12" s="71" t="s">
        <v>51</v>
      </c>
      <c r="G12" s="35"/>
      <c r="H12" s="72" t="s">
        <v>55</v>
      </c>
      <c r="I12" s="35"/>
      <c r="J12" s="31" t="s">
        <v>120</v>
      </c>
      <c r="K12" s="8"/>
    </row>
    <row r="13" spans="1:11">
      <c r="A13" s="7"/>
      <c r="B13" s="152" t="s">
        <v>150</v>
      </c>
      <c r="C13" s="35"/>
      <c r="D13" s="152" t="s">
        <v>152</v>
      </c>
      <c r="E13" s="35"/>
      <c r="F13" s="152" t="s">
        <v>339</v>
      </c>
      <c r="G13" s="35"/>
      <c r="H13" s="152" t="s">
        <v>54</v>
      </c>
      <c r="I13" s="35"/>
      <c r="J13" s="152" t="s">
        <v>57</v>
      </c>
      <c r="K13" s="8"/>
    </row>
    <row r="14" spans="1:11" ht="16">
      <c r="A14" s="7"/>
      <c r="B14" s="152"/>
      <c r="C14" s="36"/>
      <c r="D14" s="152"/>
      <c r="E14" s="35"/>
      <c r="F14" s="152"/>
      <c r="G14" s="36"/>
      <c r="H14" s="152"/>
      <c r="I14" s="35"/>
      <c r="J14" s="152"/>
      <c r="K14" s="8"/>
    </row>
    <row r="15" spans="1:11" ht="16">
      <c r="A15" s="7"/>
      <c r="B15" s="152"/>
      <c r="C15" s="36"/>
      <c r="D15" s="152"/>
      <c r="E15" s="35"/>
      <c r="F15" s="152"/>
      <c r="G15" s="36"/>
      <c r="H15" s="152"/>
      <c r="I15" s="35"/>
      <c r="J15" s="152"/>
      <c r="K15" s="8"/>
    </row>
    <row r="16" spans="1:11" ht="14" thickBot="1">
      <c r="A16" s="7"/>
      <c r="B16" s="154"/>
      <c r="C16" s="35"/>
      <c r="D16" s="154"/>
      <c r="E16" s="35"/>
      <c r="F16" s="153"/>
      <c r="G16" s="35"/>
      <c r="H16" s="153"/>
      <c r="I16" s="35"/>
      <c r="J16" s="153"/>
      <c r="K16" s="8"/>
    </row>
    <row r="17" spans="1:11">
      <c r="A17" s="7"/>
      <c r="B17" s="35"/>
      <c r="C17" s="35"/>
      <c r="D17" s="35"/>
      <c r="E17" s="35"/>
      <c r="F17" s="35"/>
      <c r="G17" s="35"/>
      <c r="H17" s="35"/>
      <c r="I17" s="35"/>
      <c r="J17" s="35"/>
      <c r="K17" s="8"/>
    </row>
    <row r="18" spans="1:11">
      <c r="A18" s="7"/>
      <c r="B18" s="35"/>
      <c r="C18" s="35"/>
      <c r="D18" s="35"/>
      <c r="E18" s="35"/>
      <c r="F18" s="35"/>
      <c r="G18" s="35"/>
      <c r="H18" s="35"/>
      <c r="I18" s="35"/>
      <c r="J18" s="35"/>
      <c r="K18" s="8"/>
    </row>
    <row r="19" spans="1:11">
      <c r="A19" s="7"/>
      <c r="B19" s="71" t="s">
        <v>148</v>
      </c>
      <c r="C19" s="35"/>
      <c r="D19" s="72" t="s">
        <v>155</v>
      </c>
      <c r="E19" s="35"/>
      <c r="F19" s="73" t="s">
        <v>52</v>
      </c>
      <c r="G19" s="35"/>
      <c r="H19" s="73" t="s">
        <v>56</v>
      </c>
      <c r="I19" s="35"/>
      <c r="J19" s="31" t="s">
        <v>121</v>
      </c>
      <c r="K19" s="8"/>
    </row>
    <row r="20" spans="1:11">
      <c r="A20" s="7"/>
      <c r="B20" s="152" t="s">
        <v>151</v>
      </c>
      <c r="C20" s="35"/>
      <c r="D20" s="152" t="s">
        <v>154</v>
      </c>
      <c r="E20" s="35"/>
      <c r="F20" s="152" t="s">
        <v>340</v>
      </c>
      <c r="G20" s="35"/>
      <c r="H20" s="152" t="s">
        <v>328</v>
      </c>
      <c r="I20" s="35"/>
      <c r="J20" s="32"/>
      <c r="K20" s="8"/>
    </row>
    <row r="21" spans="1:11" ht="16">
      <c r="A21" s="7"/>
      <c r="B21" s="152"/>
      <c r="C21" s="36"/>
      <c r="D21" s="152"/>
      <c r="E21" s="35"/>
      <c r="F21" s="152"/>
      <c r="G21" s="36"/>
      <c r="H21" s="152"/>
      <c r="I21" s="35"/>
      <c r="J21" s="33"/>
      <c r="K21" s="8"/>
    </row>
    <row r="22" spans="1:11" ht="16">
      <c r="A22" s="7"/>
      <c r="B22" s="152"/>
      <c r="C22" s="36"/>
      <c r="D22" s="152"/>
      <c r="E22" s="35"/>
      <c r="F22" s="152"/>
      <c r="G22" s="36"/>
      <c r="H22" s="152"/>
      <c r="I22" s="35"/>
      <c r="J22" s="33"/>
      <c r="K22" s="8"/>
    </row>
    <row r="23" spans="1:11" ht="14" thickBot="1">
      <c r="A23" s="7"/>
      <c r="B23" s="154"/>
      <c r="C23" s="35"/>
      <c r="D23" s="154"/>
      <c r="E23" s="35"/>
      <c r="F23" s="153"/>
      <c r="G23" s="35"/>
      <c r="H23" s="153"/>
      <c r="I23" s="35"/>
      <c r="J23" s="34"/>
      <c r="K23" s="8"/>
    </row>
    <row r="24" spans="1:11">
      <c r="A24" s="7"/>
      <c r="B24" s="35"/>
      <c r="C24" s="35"/>
      <c r="D24" s="35"/>
      <c r="E24" s="35"/>
      <c r="F24" s="35"/>
      <c r="G24" s="35"/>
      <c r="H24" s="35"/>
      <c r="I24" s="35"/>
      <c r="J24" s="35"/>
      <c r="K24" s="8"/>
    </row>
    <row r="25" spans="1:11" ht="14" thickBot="1">
      <c r="A25" s="7"/>
      <c r="B25" s="35"/>
      <c r="C25" s="35"/>
      <c r="D25" s="35"/>
      <c r="E25" s="35"/>
      <c r="F25" s="35"/>
      <c r="G25" s="35"/>
      <c r="H25" s="35"/>
      <c r="I25" s="35"/>
      <c r="J25" s="35"/>
      <c r="K25" s="8"/>
    </row>
    <row r="26" spans="1:11">
      <c r="A26" s="7"/>
      <c r="B26" s="72" t="s">
        <v>149</v>
      </c>
      <c r="C26" s="35"/>
      <c r="D26" s="73" t="s">
        <v>50</v>
      </c>
      <c r="E26" s="35"/>
      <c r="F26" s="71" t="s">
        <v>53</v>
      </c>
      <c r="G26" s="35"/>
      <c r="H26" s="73" t="s">
        <v>336</v>
      </c>
      <c r="I26" s="35"/>
      <c r="J26" s="31" t="s">
        <v>122</v>
      </c>
      <c r="K26" s="8"/>
    </row>
    <row r="27" spans="1:11">
      <c r="A27" s="7"/>
      <c r="B27" s="152" t="s">
        <v>147</v>
      </c>
      <c r="C27" s="35"/>
      <c r="D27" s="152" t="s">
        <v>156</v>
      </c>
      <c r="E27" s="35"/>
      <c r="F27" s="152" t="s">
        <v>341</v>
      </c>
      <c r="G27" s="35"/>
      <c r="H27" s="152" t="s">
        <v>335</v>
      </c>
      <c r="I27" s="35"/>
      <c r="J27" s="32"/>
      <c r="K27" s="8"/>
    </row>
    <row r="28" spans="1:11" ht="16">
      <c r="A28" s="7"/>
      <c r="B28" s="152"/>
      <c r="C28" s="36"/>
      <c r="D28" s="152"/>
      <c r="E28" s="35"/>
      <c r="F28" s="152"/>
      <c r="G28" s="36"/>
      <c r="H28" s="152"/>
      <c r="I28" s="35"/>
      <c r="J28" s="33"/>
      <c r="K28" s="8"/>
    </row>
    <row r="29" spans="1:11" ht="16">
      <c r="A29" s="7"/>
      <c r="B29" s="152"/>
      <c r="C29" s="36"/>
      <c r="D29" s="152"/>
      <c r="E29" s="35"/>
      <c r="F29" s="152"/>
      <c r="G29" s="36"/>
      <c r="H29" s="152"/>
      <c r="I29" s="35"/>
      <c r="J29" s="33"/>
      <c r="K29" s="8"/>
    </row>
    <row r="30" spans="1:11" ht="14" thickBot="1">
      <c r="A30" s="7"/>
      <c r="B30" s="154"/>
      <c r="C30" s="35"/>
      <c r="D30" s="153"/>
      <c r="E30" s="35"/>
      <c r="F30" s="153"/>
      <c r="G30" s="35"/>
      <c r="H30" s="153"/>
      <c r="I30" s="35"/>
      <c r="J30" s="34"/>
      <c r="K30" s="8"/>
    </row>
    <row r="31" spans="1:11">
      <c r="A31" s="7"/>
      <c r="B31" s="35"/>
      <c r="C31" s="35"/>
      <c r="D31" s="35"/>
      <c r="E31" s="35"/>
      <c r="F31" s="35"/>
      <c r="G31" s="35"/>
      <c r="H31" s="35"/>
      <c r="I31" s="35"/>
      <c r="J31" s="35"/>
      <c r="K31" s="8"/>
    </row>
    <row r="32" spans="1:11" ht="14" thickBot="1">
      <c r="A32" s="7"/>
      <c r="B32" s="35"/>
      <c r="C32" s="35"/>
      <c r="D32" s="35"/>
      <c r="E32" s="35"/>
      <c r="F32" s="35"/>
      <c r="G32" s="35"/>
      <c r="H32" s="35"/>
      <c r="I32" s="35"/>
      <c r="J32" s="35"/>
      <c r="K32" s="8"/>
    </row>
    <row r="33" spans="1:11">
      <c r="A33" s="7"/>
      <c r="B33" s="72" t="s">
        <v>327</v>
      </c>
      <c r="C33" s="35"/>
      <c r="D33" s="72" t="s">
        <v>331</v>
      </c>
      <c r="E33" s="35"/>
      <c r="F33" s="72" t="s">
        <v>332</v>
      </c>
      <c r="G33" s="35"/>
      <c r="H33" s="73" t="s">
        <v>333</v>
      </c>
      <c r="I33" s="35"/>
      <c r="J33" s="73" t="s">
        <v>334</v>
      </c>
      <c r="K33" s="8"/>
    </row>
    <row r="34" spans="1:11">
      <c r="A34" s="7"/>
      <c r="B34" s="152" t="s">
        <v>330</v>
      </c>
      <c r="C34" s="35"/>
      <c r="D34" s="152" t="s">
        <v>329</v>
      </c>
      <c r="E34" s="35"/>
      <c r="F34" s="152"/>
      <c r="G34" s="35"/>
      <c r="H34" s="32"/>
      <c r="I34" s="35"/>
      <c r="J34" s="32"/>
      <c r="K34" s="8"/>
    </row>
    <row r="35" spans="1:11" ht="16">
      <c r="A35" s="7"/>
      <c r="B35" s="152"/>
      <c r="C35" s="36"/>
      <c r="D35" s="152"/>
      <c r="E35" s="35"/>
      <c r="F35" s="152"/>
      <c r="G35" s="36"/>
      <c r="H35" s="33"/>
      <c r="I35" s="35"/>
      <c r="J35" s="33"/>
      <c r="K35" s="8"/>
    </row>
    <row r="36" spans="1:11" ht="16">
      <c r="A36" s="7"/>
      <c r="B36" s="152"/>
      <c r="C36" s="36"/>
      <c r="D36" s="152"/>
      <c r="E36" s="35"/>
      <c r="F36" s="152"/>
      <c r="G36" s="36"/>
      <c r="H36" s="33"/>
      <c r="I36" s="35"/>
      <c r="J36" s="33"/>
      <c r="K36" s="8"/>
    </row>
    <row r="37" spans="1:11" ht="14" thickBot="1">
      <c r="A37" s="7"/>
      <c r="B37" s="154"/>
      <c r="C37" s="35"/>
      <c r="D37" s="153"/>
      <c r="E37" s="35"/>
      <c r="F37" s="153"/>
      <c r="G37" s="35"/>
      <c r="H37" s="34"/>
      <c r="I37" s="35"/>
      <c r="J37" s="34"/>
      <c r="K37" s="8"/>
    </row>
    <row r="38" spans="1:11">
      <c r="A38" s="7"/>
      <c r="B38" s="35"/>
      <c r="C38" s="35"/>
      <c r="D38" s="35"/>
      <c r="E38" s="35"/>
      <c r="F38" s="35"/>
      <c r="G38" s="35"/>
      <c r="H38" s="35"/>
      <c r="I38" s="35"/>
      <c r="J38" s="35"/>
      <c r="K38" s="8"/>
    </row>
    <row r="39" spans="1:11" ht="14" thickBot="1">
      <c r="A39" s="9"/>
      <c r="B39" s="42"/>
      <c r="C39" s="42"/>
      <c r="D39" s="42"/>
      <c r="E39" s="42"/>
      <c r="F39" s="42"/>
      <c r="G39" s="42"/>
      <c r="H39" s="42"/>
      <c r="I39" s="42"/>
      <c r="J39" s="42"/>
      <c r="K39" s="11"/>
    </row>
    <row r="45" spans="1:11">
      <c r="B45" s="60" t="s">
        <v>87</v>
      </c>
      <c r="C45" s="61"/>
      <c r="D45" s="61"/>
      <c r="E45" s="61"/>
      <c r="F45" s="61"/>
      <c r="G45" s="61"/>
      <c r="H45" s="61"/>
      <c r="I45" s="61"/>
      <c r="J45" s="62"/>
    </row>
    <row r="46" spans="1:11">
      <c r="B46" s="63"/>
      <c r="C46" s="35"/>
      <c r="D46" s="35"/>
      <c r="E46" s="35"/>
      <c r="F46" s="35"/>
      <c r="G46" s="35"/>
      <c r="H46" s="35"/>
      <c r="I46" s="35"/>
      <c r="J46" s="64"/>
    </row>
    <row r="47" spans="1:11">
      <c r="B47" s="63" t="s">
        <v>171</v>
      </c>
      <c r="C47" s="35"/>
      <c r="D47" s="35"/>
      <c r="E47" s="35"/>
      <c r="F47" s="35"/>
      <c r="G47" s="35"/>
      <c r="H47" s="35"/>
      <c r="I47" s="35"/>
      <c r="J47" s="64"/>
    </row>
    <row r="48" spans="1:11">
      <c r="B48" s="63" t="s">
        <v>82</v>
      </c>
      <c r="C48" s="35"/>
      <c r="D48" s="35"/>
      <c r="E48" s="35"/>
      <c r="F48" s="35"/>
      <c r="G48" s="35"/>
      <c r="H48" s="35"/>
      <c r="I48" s="35"/>
      <c r="J48" s="64"/>
    </row>
    <row r="49" spans="2:10">
      <c r="B49" s="63" t="s">
        <v>83</v>
      </c>
      <c r="C49" s="35"/>
      <c r="D49" s="35"/>
      <c r="E49" s="35"/>
      <c r="F49" s="35"/>
      <c r="G49" s="35"/>
      <c r="H49" s="35"/>
      <c r="I49" s="35"/>
      <c r="J49" s="64"/>
    </row>
    <row r="50" spans="2:10">
      <c r="B50" s="63" t="s">
        <v>84</v>
      </c>
      <c r="C50" s="35"/>
      <c r="D50" s="35"/>
      <c r="E50" s="35"/>
      <c r="F50" s="35"/>
      <c r="G50" s="35"/>
      <c r="H50" s="35"/>
      <c r="I50" s="35"/>
      <c r="J50" s="64"/>
    </row>
    <row r="51" spans="2:10">
      <c r="B51" s="63" t="s">
        <v>85</v>
      </c>
      <c r="C51" s="35"/>
      <c r="D51" s="35"/>
      <c r="E51" s="35"/>
      <c r="F51" s="35"/>
      <c r="G51" s="35"/>
      <c r="H51" s="35"/>
      <c r="I51" s="35"/>
      <c r="J51" s="64"/>
    </row>
    <row r="52" spans="2:10">
      <c r="B52" s="65" t="s">
        <v>86</v>
      </c>
      <c r="C52" s="66"/>
      <c r="D52" s="66"/>
      <c r="E52" s="66"/>
      <c r="F52" s="66"/>
      <c r="G52" s="66"/>
      <c r="H52" s="66"/>
      <c r="I52" s="66"/>
      <c r="J52" s="67"/>
    </row>
  </sheetData>
  <mergeCells count="18">
    <mergeCell ref="B34:B37"/>
    <mergeCell ref="D34:D37"/>
    <mergeCell ref="F34:F37"/>
    <mergeCell ref="H27:H30"/>
    <mergeCell ref="J13:J16"/>
    <mergeCell ref="B5:D6"/>
    <mergeCell ref="B13:B16"/>
    <mergeCell ref="B20:B23"/>
    <mergeCell ref="B27:B30"/>
    <mergeCell ref="D13:D16"/>
    <mergeCell ref="D20:D23"/>
    <mergeCell ref="D27:D30"/>
    <mergeCell ref="F4:F7"/>
    <mergeCell ref="F13:F16"/>
    <mergeCell ref="F20:F23"/>
    <mergeCell ref="F27:F30"/>
    <mergeCell ref="H13:H16"/>
    <mergeCell ref="H20:H23"/>
  </mergeCells>
  <phoneticPr fontId="5" type="noConversion"/>
  <pageMargins left="0.55905511811023623" right="0.55905511811023623" top="0.79921259842519676" bottom="0.79921259842519676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topLeftCell="A13" zoomScale="125" zoomScaleNormal="125" zoomScalePageLayoutView="125" workbookViewId="0">
      <selection activeCell="E53" sqref="E53"/>
    </sheetView>
  </sheetViews>
  <sheetFormatPr baseColWidth="10" defaultRowHeight="13" x14ac:dyDescent="0"/>
  <cols>
    <col min="1" max="1" width="1.42578125" customWidth="1"/>
    <col min="2" max="2" width="3.5703125" customWidth="1"/>
    <col min="3" max="3" width="13.140625" customWidth="1"/>
    <col min="4" max="4" width="16.42578125" customWidth="1"/>
    <col min="5" max="5" width="15.85546875" customWidth="1"/>
    <col min="6" max="7" width="7.140625" customWidth="1"/>
    <col min="8" max="8" width="1.42578125" customWidth="1"/>
    <col min="9" max="9" width="3.7109375" customWidth="1"/>
    <col min="10" max="13" width="7.5703125" customWidth="1"/>
    <col min="14" max="14" width="1.42578125" customWidth="1"/>
    <col min="15" max="15" width="4.140625" customWidth="1"/>
    <col min="16" max="16" width="5.28515625" customWidth="1"/>
    <col min="17" max="17" width="9.7109375" customWidth="1"/>
    <col min="18" max="27" width="3.5703125" customWidth="1"/>
  </cols>
  <sheetData>
    <row r="1" spans="1:25" ht="9" customHeight="1" thickBo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3"/>
    </row>
    <row r="2" spans="1:25" ht="17" thickBot="1">
      <c r="A2" s="7"/>
      <c r="B2" s="158" t="s">
        <v>342</v>
      </c>
      <c r="C2" s="159"/>
      <c r="D2" s="159"/>
      <c r="E2" s="159"/>
      <c r="F2" s="159"/>
      <c r="G2" s="159"/>
      <c r="H2" s="3"/>
      <c r="I2" s="108" t="s">
        <v>228</v>
      </c>
      <c r="J2" s="109"/>
      <c r="K2" s="155" t="str">
        <f>Projektsteckbrief!D3</f>
        <v>Hausbau X</v>
      </c>
      <c r="L2" s="156"/>
      <c r="M2" s="157"/>
      <c r="N2" s="8"/>
      <c r="O2" s="3"/>
      <c r="Q2" s="1" t="s">
        <v>105</v>
      </c>
    </row>
    <row r="3" spans="1:25" ht="8" customHeight="1">
      <c r="A3" s="7"/>
      <c r="B3" s="159"/>
      <c r="C3" s="159"/>
      <c r="D3" s="159"/>
      <c r="E3" s="159"/>
      <c r="F3" s="159"/>
      <c r="G3" s="159"/>
      <c r="H3" s="3"/>
      <c r="I3" s="3"/>
      <c r="J3" s="3"/>
      <c r="K3" s="3"/>
      <c r="L3" s="3"/>
      <c r="M3" s="3"/>
      <c r="N3" s="8"/>
      <c r="O3" s="3"/>
    </row>
    <row r="4" spans="1:25" ht="14" thickBot="1">
      <c r="A4" s="7"/>
      <c r="B4" s="110" t="s">
        <v>42</v>
      </c>
      <c r="C4" s="110" t="s">
        <v>43</v>
      </c>
      <c r="D4" s="161" t="s">
        <v>44</v>
      </c>
      <c r="E4" s="161"/>
      <c r="F4" s="110" t="s">
        <v>101</v>
      </c>
      <c r="G4" s="110" t="s">
        <v>45</v>
      </c>
      <c r="H4" s="107"/>
      <c r="I4" s="107"/>
      <c r="J4" s="3"/>
      <c r="K4" s="3"/>
      <c r="L4" s="3"/>
      <c r="M4" s="3"/>
      <c r="N4" s="8"/>
      <c r="O4" s="3"/>
      <c r="Q4" s="96" t="s">
        <v>106</v>
      </c>
      <c r="R4" s="96" t="s">
        <v>107</v>
      </c>
      <c r="S4" s="96"/>
      <c r="T4" s="96"/>
      <c r="U4" s="96"/>
      <c r="V4" s="96"/>
      <c r="W4" s="96"/>
      <c r="X4" s="96"/>
      <c r="Y4" s="96"/>
    </row>
    <row r="5" spans="1:25" ht="14" thickBot="1">
      <c r="A5" s="7"/>
      <c r="B5" s="111"/>
      <c r="C5" s="111"/>
      <c r="D5" s="111" t="s">
        <v>34</v>
      </c>
      <c r="E5" s="111" t="s">
        <v>35</v>
      </c>
      <c r="F5" s="112" t="s">
        <v>36</v>
      </c>
      <c r="G5" s="111" t="s">
        <v>21</v>
      </c>
      <c r="H5" s="3"/>
      <c r="I5" s="163" t="s">
        <v>103</v>
      </c>
      <c r="J5" s="164"/>
      <c r="K5" s="164"/>
      <c r="L5" s="164"/>
      <c r="M5" s="165"/>
      <c r="N5" s="8"/>
      <c r="O5" s="3"/>
      <c r="Q5" s="96"/>
      <c r="R5" s="96">
        <v>1</v>
      </c>
      <c r="S5" s="96">
        <v>2</v>
      </c>
      <c r="T5" s="96">
        <v>3</v>
      </c>
      <c r="U5" s="96">
        <v>4</v>
      </c>
      <c r="V5" s="96">
        <v>5</v>
      </c>
      <c r="W5" s="96">
        <v>6</v>
      </c>
      <c r="X5" s="96">
        <v>7</v>
      </c>
      <c r="Y5" s="96">
        <v>8</v>
      </c>
    </row>
    <row r="6" spans="1:25" ht="5" customHeight="1" thickBot="1">
      <c r="A6" s="7"/>
      <c r="B6" s="159"/>
      <c r="C6" s="159"/>
      <c r="D6" s="159"/>
      <c r="E6" s="159"/>
      <c r="F6" s="159"/>
      <c r="G6" s="159"/>
      <c r="H6" s="3"/>
      <c r="I6" s="3"/>
      <c r="J6" s="3"/>
      <c r="K6" s="3"/>
      <c r="L6" s="3"/>
      <c r="M6" s="3"/>
      <c r="N6" s="8"/>
      <c r="O6" s="3"/>
      <c r="Q6" s="96"/>
      <c r="R6" s="96"/>
      <c r="S6" s="96"/>
      <c r="T6" s="96"/>
      <c r="U6" s="96"/>
      <c r="V6" s="96"/>
      <c r="W6" s="96"/>
      <c r="X6" s="96"/>
      <c r="Y6" s="96"/>
    </row>
    <row r="7" spans="1:25" s="16" customFormat="1" ht="37" customHeight="1">
      <c r="A7" s="17"/>
      <c r="B7" s="113">
        <v>1</v>
      </c>
      <c r="C7" s="113" t="s">
        <v>37</v>
      </c>
      <c r="D7" s="118" t="s">
        <v>144</v>
      </c>
      <c r="E7" s="119" t="s">
        <v>135</v>
      </c>
      <c r="F7" s="113">
        <v>1</v>
      </c>
      <c r="G7" s="113">
        <v>2</v>
      </c>
      <c r="H7" s="19"/>
      <c r="I7" s="76">
        <v>4</v>
      </c>
      <c r="J7" s="92" t="str">
        <f>Q7</f>
        <v xml:space="preserve">       </v>
      </c>
      <c r="K7" s="93" t="str">
        <f>Q11</f>
        <v xml:space="preserve">       </v>
      </c>
      <c r="L7" s="80" t="str">
        <f>Q15</f>
        <v xml:space="preserve">       </v>
      </c>
      <c r="M7" s="81" t="str">
        <f>Q24</f>
        <v xml:space="preserve"> 2      </v>
      </c>
      <c r="N7" s="20"/>
      <c r="O7" s="19"/>
      <c r="P7" s="106" t="str">
        <f t="shared" ref="P7:P14" si="0">CONCATENATE(F7,G7)</f>
        <v>12</v>
      </c>
      <c r="Q7" s="97" t="str">
        <f t="shared" ref="Q7:Q27" si="1">CONCATENATE(R7," ",S7," ",T7," ",U7," ",V7," ",W7," ",X7," ",Y7)</f>
        <v xml:space="preserve">       </v>
      </c>
      <c r="R7" s="98" t="str">
        <f>IF($P$7="41",1,"")</f>
        <v/>
      </c>
      <c r="S7" s="98" t="str">
        <f>IF($P$8="41",2,"")</f>
        <v/>
      </c>
      <c r="T7" s="98" t="str">
        <f>IF($P$9="41",3,"")</f>
        <v/>
      </c>
      <c r="U7" s="98" t="str">
        <f>IF($P$10="41",4,"")</f>
        <v/>
      </c>
      <c r="V7" s="98" t="str">
        <f>IF($P$11="41",5,"")</f>
        <v/>
      </c>
      <c r="W7" s="98" t="str">
        <f>IF($P$12="41",6,"")</f>
        <v/>
      </c>
      <c r="X7" s="98" t="str">
        <f>IF($P$13="41",7,"")</f>
        <v/>
      </c>
      <c r="Y7" s="99" t="str">
        <f>IF($P$14="41",8,"")</f>
        <v/>
      </c>
    </row>
    <row r="8" spans="1:25" s="16" customFormat="1" ht="37" customHeight="1">
      <c r="A8" s="17"/>
      <c r="B8" s="113">
        <v>2</v>
      </c>
      <c r="C8" s="113" t="s">
        <v>38</v>
      </c>
      <c r="D8" s="119" t="s">
        <v>136</v>
      </c>
      <c r="E8" s="119" t="s">
        <v>137</v>
      </c>
      <c r="F8" s="113">
        <v>4</v>
      </c>
      <c r="G8" s="113">
        <v>4</v>
      </c>
      <c r="H8" s="19"/>
      <c r="I8" s="77">
        <v>3</v>
      </c>
      <c r="J8" s="94" t="str">
        <f>Q8</f>
        <v xml:space="preserve">       </v>
      </c>
      <c r="K8" s="95" t="str">
        <f t="shared" ref="K8:K10" si="2">Q12</f>
        <v xml:space="preserve">       </v>
      </c>
      <c r="L8" s="82" t="str">
        <f t="shared" ref="L8:L10" si="3">Q16</f>
        <v xml:space="preserve">  3     </v>
      </c>
      <c r="M8" s="83" t="str">
        <f t="shared" ref="M8:M10" si="4">Q25</f>
        <v xml:space="preserve">      7 </v>
      </c>
      <c r="N8" s="20"/>
      <c r="O8" s="19"/>
      <c r="P8" s="106" t="str">
        <f t="shared" si="0"/>
        <v>44</v>
      </c>
      <c r="Q8" s="100" t="str">
        <f t="shared" si="1"/>
        <v xml:space="preserve">       </v>
      </c>
      <c r="R8" s="101" t="str">
        <f>IF($P$7="31",1,"")</f>
        <v/>
      </c>
      <c r="S8" s="101" t="str">
        <f>IF($P$8="31",2,"")</f>
        <v/>
      </c>
      <c r="T8" s="101" t="str">
        <f>IF($P$9="31",3,"")</f>
        <v/>
      </c>
      <c r="U8" s="101" t="str">
        <f>IF($P$10="31",4,"")</f>
        <v/>
      </c>
      <c r="V8" s="101" t="str">
        <f>IF($P$11="31",5,"")</f>
        <v/>
      </c>
      <c r="W8" s="101" t="str">
        <f>IF($P$12="31",6,"")</f>
        <v/>
      </c>
      <c r="X8" s="101" t="str">
        <f>IF($P$13="31",7,"")</f>
        <v/>
      </c>
      <c r="Y8" s="102" t="str">
        <f>IF($P$14="31",8,"")</f>
        <v/>
      </c>
    </row>
    <row r="9" spans="1:25" s="16" customFormat="1" ht="37" customHeight="1">
      <c r="A9" s="17"/>
      <c r="B9" s="113">
        <v>3</v>
      </c>
      <c r="C9" s="113" t="s">
        <v>39</v>
      </c>
      <c r="D9" s="119" t="s">
        <v>145</v>
      </c>
      <c r="E9" s="118" t="s">
        <v>138</v>
      </c>
      <c r="F9" s="113">
        <v>3</v>
      </c>
      <c r="G9" s="113">
        <v>3</v>
      </c>
      <c r="H9" s="19"/>
      <c r="I9" s="77">
        <v>2</v>
      </c>
      <c r="J9" s="84" t="str">
        <f t="shared" ref="J9:J10" si="5">Q9</f>
        <v xml:space="preserve">       </v>
      </c>
      <c r="K9" s="85" t="str">
        <f t="shared" si="2"/>
        <v xml:space="preserve">   4    </v>
      </c>
      <c r="L9" s="88" t="str">
        <f t="shared" si="3"/>
        <v xml:space="preserve">       </v>
      </c>
      <c r="M9" s="89" t="str">
        <f t="shared" si="4"/>
        <v xml:space="preserve">       </v>
      </c>
      <c r="N9" s="20"/>
      <c r="O9" s="19"/>
      <c r="P9" s="106" t="str">
        <f t="shared" si="0"/>
        <v>33</v>
      </c>
      <c r="Q9" s="100" t="str">
        <f t="shared" si="1"/>
        <v xml:space="preserve">       </v>
      </c>
      <c r="R9" s="101" t="str">
        <f>IF($P$7="21",1,"")</f>
        <v/>
      </c>
      <c r="S9" s="101" t="str">
        <f>IF($P$8="21",2,"")</f>
        <v/>
      </c>
      <c r="T9" s="101" t="str">
        <f>IF($P$9="21",3,"")</f>
        <v/>
      </c>
      <c r="U9" s="101" t="str">
        <f>IF($P$10="21",4,"")</f>
        <v/>
      </c>
      <c r="V9" s="101" t="str">
        <f>IF($P$11="21",5,"")</f>
        <v/>
      </c>
      <c r="W9" s="101" t="str">
        <f>IF($P$12="21",6,"")</f>
        <v/>
      </c>
      <c r="X9" s="101" t="str">
        <f>IF($P$13="21",7,"")</f>
        <v/>
      </c>
      <c r="Y9" s="102" t="str">
        <f>IF($P$14="21",8,"")</f>
        <v/>
      </c>
    </row>
    <row r="10" spans="1:25" s="16" customFormat="1" ht="37" customHeight="1" thickBot="1">
      <c r="A10" s="17"/>
      <c r="B10" s="113">
        <v>4</v>
      </c>
      <c r="C10" s="113" t="s">
        <v>40</v>
      </c>
      <c r="D10" s="119" t="s">
        <v>139</v>
      </c>
      <c r="E10" s="118" t="s">
        <v>140</v>
      </c>
      <c r="F10" s="113">
        <v>2</v>
      </c>
      <c r="G10" s="113">
        <v>2</v>
      </c>
      <c r="H10" s="19"/>
      <c r="I10" s="77">
        <v>1</v>
      </c>
      <c r="J10" s="86" t="str">
        <f t="shared" si="5"/>
        <v xml:space="preserve">    5   </v>
      </c>
      <c r="K10" s="87" t="str">
        <f t="shared" si="2"/>
        <v xml:space="preserve">1     6  </v>
      </c>
      <c r="L10" s="90" t="str">
        <f t="shared" si="3"/>
        <v xml:space="preserve">       </v>
      </c>
      <c r="M10" s="91" t="str">
        <f t="shared" si="4"/>
        <v xml:space="preserve">       </v>
      </c>
      <c r="N10" s="20"/>
      <c r="O10" s="19"/>
      <c r="P10" s="106" t="str">
        <f t="shared" si="0"/>
        <v>22</v>
      </c>
      <c r="Q10" s="103" t="str">
        <f t="shared" si="1"/>
        <v xml:space="preserve">    5   </v>
      </c>
      <c r="R10" s="104" t="str">
        <f>IF($P$7="11",1,"")</f>
        <v/>
      </c>
      <c r="S10" s="104" t="str">
        <f>IF($P$8="11",2,"")</f>
        <v/>
      </c>
      <c r="T10" s="104" t="str">
        <f>IF($P$9="11",3,"")</f>
        <v/>
      </c>
      <c r="U10" s="104" t="str">
        <f>IF($P$10="11",4,"")</f>
        <v/>
      </c>
      <c r="V10" s="104">
        <f>IF($P$11="11",5,"")</f>
        <v>5</v>
      </c>
      <c r="W10" s="104" t="str">
        <f>IF($P$12="11",6,"")</f>
        <v/>
      </c>
      <c r="X10" s="104" t="str">
        <f>IF($P$13="11",7,"")</f>
        <v/>
      </c>
      <c r="Y10" s="105" t="str">
        <f>IF($P$14="11",8,"")</f>
        <v/>
      </c>
    </row>
    <row r="11" spans="1:25" s="16" customFormat="1" ht="37" customHeight="1" thickBot="1">
      <c r="A11" s="17"/>
      <c r="B11" s="113">
        <v>5</v>
      </c>
      <c r="C11" s="113" t="s">
        <v>41</v>
      </c>
      <c r="D11" s="119" t="s">
        <v>104</v>
      </c>
      <c r="E11" s="118" t="s">
        <v>141</v>
      </c>
      <c r="F11" s="113">
        <v>1</v>
      </c>
      <c r="G11" s="113">
        <v>1</v>
      </c>
      <c r="H11" s="19"/>
      <c r="I11" s="75"/>
      <c r="J11" s="78">
        <v>1</v>
      </c>
      <c r="K11" s="78">
        <v>2</v>
      </c>
      <c r="L11" s="78">
        <v>3</v>
      </c>
      <c r="M11" s="79">
        <v>4</v>
      </c>
      <c r="N11" s="20"/>
      <c r="O11" s="19"/>
      <c r="P11" s="106" t="str">
        <f t="shared" si="0"/>
        <v>11</v>
      </c>
      <c r="Q11" s="97" t="str">
        <f t="shared" si="1"/>
        <v xml:space="preserve">       </v>
      </c>
      <c r="R11" s="98" t="str">
        <f>IF($P$7="42",1,"")</f>
        <v/>
      </c>
      <c r="S11" s="98" t="str">
        <f>IF($P$8="42",2,"")</f>
        <v/>
      </c>
      <c r="T11" s="98" t="str">
        <f>IF($P$9="42",3,"")</f>
        <v/>
      </c>
      <c r="U11" s="98" t="str">
        <f>IF($P$10="42",4,"")</f>
        <v/>
      </c>
      <c r="V11" s="98" t="str">
        <f>IF($P$11="42",5,"")</f>
        <v/>
      </c>
      <c r="W11" s="98" t="str">
        <f>IF($P$12="42",6,"")</f>
        <v/>
      </c>
      <c r="X11" s="98" t="str">
        <f>IF($P$13="42",7,"")</f>
        <v/>
      </c>
      <c r="Y11" s="99" t="str">
        <f>IF($P$14="42",8,"")</f>
        <v/>
      </c>
    </row>
    <row r="12" spans="1:25" ht="32" customHeight="1">
      <c r="A12" s="17"/>
      <c r="B12" s="113">
        <v>6</v>
      </c>
      <c r="C12" s="113" t="s">
        <v>236</v>
      </c>
      <c r="D12" s="118" t="s">
        <v>130</v>
      </c>
      <c r="E12" s="118" t="s">
        <v>131</v>
      </c>
      <c r="F12" s="113">
        <v>1</v>
      </c>
      <c r="G12" s="113">
        <v>2</v>
      </c>
      <c r="H12" s="3"/>
      <c r="I12" s="3"/>
      <c r="J12" s="3"/>
      <c r="K12" s="162" t="s">
        <v>102</v>
      </c>
      <c r="L12" s="162"/>
      <c r="M12" s="3"/>
      <c r="N12" s="8"/>
      <c r="O12" s="3"/>
      <c r="P12" s="106" t="str">
        <f t="shared" si="0"/>
        <v>12</v>
      </c>
      <c r="Q12" s="100" t="str">
        <f t="shared" si="1"/>
        <v xml:space="preserve">       </v>
      </c>
      <c r="R12" s="101" t="str">
        <f>IF($P$7="32",1,"")</f>
        <v/>
      </c>
      <c r="S12" s="101" t="str">
        <f>IF($P$8="32",2,"")</f>
        <v/>
      </c>
      <c r="T12" s="101" t="str">
        <f>IF($P$9="32",3,"")</f>
        <v/>
      </c>
      <c r="U12" s="101" t="str">
        <f>IF($P$10="32",4,"")</f>
        <v/>
      </c>
      <c r="V12" s="101" t="str">
        <f>IF($P$11="32",5,"")</f>
        <v/>
      </c>
      <c r="W12" s="101" t="str">
        <f>IF($P$12="32",6,"")</f>
        <v/>
      </c>
      <c r="X12" s="101" t="str">
        <f>IF($P$13="32",7,"")</f>
        <v/>
      </c>
      <c r="Y12" s="102" t="str">
        <f>IF($P$14="32",8,"")</f>
        <v/>
      </c>
    </row>
    <row r="13" spans="1:25" ht="33" customHeight="1">
      <c r="A13" s="17"/>
      <c r="B13" s="113">
        <v>7</v>
      </c>
      <c r="C13" s="113" t="s">
        <v>173</v>
      </c>
      <c r="D13" s="119" t="s">
        <v>75</v>
      </c>
      <c r="E13" s="118" t="s">
        <v>76</v>
      </c>
      <c r="F13" s="113">
        <v>3</v>
      </c>
      <c r="G13" s="113">
        <v>4</v>
      </c>
      <c r="H13" s="3"/>
      <c r="I13" s="3"/>
      <c r="J13" s="12" t="s">
        <v>172</v>
      </c>
      <c r="K13" s="3"/>
      <c r="L13" s="3"/>
      <c r="M13" s="3"/>
      <c r="N13" s="8"/>
      <c r="O13" s="3"/>
      <c r="P13" s="106" t="str">
        <f t="shared" si="0"/>
        <v>34</v>
      </c>
      <c r="Q13" s="100" t="str">
        <f t="shared" si="1"/>
        <v xml:space="preserve">   4    </v>
      </c>
      <c r="R13" s="101" t="str">
        <f>IF($P$7="22",1,"")</f>
        <v/>
      </c>
      <c r="S13" s="101" t="str">
        <f>IF($P$8="22",2,"")</f>
        <v/>
      </c>
      <c r="T13" s="101" t="str">
        <f>IF($P$9="22",3,"")</f>
        <v/>
      </c>
      <c r="U13" s="101">
        <f>IF($P$10="22",4,"")</f>
        <v>4</v>
      </c>
      <c r="V13" s="101" t="str">
        <f>IF($P$11="22",5,"")</f>
        <v/>
      </c>
      <c r="W13" s="101" t="str">
        <f>IF($P$12="22",6,"")</f>
        <v/>
      </c>
      <c r="X13" s="101" t="str">
        <f>IF($P$13="22",7,"")</f>
        <v/>
      </c>
      <c r="Y13" s="102" t="str">
        <f>IF($P$14="22",8,"")</f>
        <v/>
      </c>
    </row>
    <row r="14" spans="1:25" ht="33" customHeight="1">
      <c r="A14" s="17"/>
      <c r="B14" s="113"/>
      <c r="C14" s="113"/>
      <c r="D14" s="115"/>
      <c r="E14" s="114"/>
      <c r="F14" s="74"/>
      <c r="G14" s="74"/>
      <c r="H14" s="3"/>
      <c r="I14" s="3"/>
      <c r="J14" s="3"/>
      <c r="K14" s="3"/>
      <c r="L14" s="3"/>
      <c r="M14" s="3"/>
      <c r="N14" s="8"/>
      <c r="O14" s="3"/>
      <c r="P14" s="106" t="str">
        <f t="shared" si="0"/>
        <v/>
      </c>
      <c r="Q14" s="103" t="str">
        <f t="shared" si="1"/>
        <v xml:space="preserve">1     6  </v>
      </c>
      <c r="R14" s="104">
        <f>IF($P$7="12",1,"")</f>
        <v>1</v>
      </c>
      <c r="S14" s="104" t="str">
        <f>IF($P$8="12",2,"")</f>
        <v/>
      </c>
      <c r="T14" s="104" t="str">
        <f>IF($P$9="12",3,"")</f>
        <v/>
      </c>
      <c r="U14" s="104" t="str">
        <f>IF($P$10="12",4,"")</f>
        <v/>
      </c>
      <c r="V14" s="104" t="str">
        <f>IF($P$11="12",5,"")</f>
        <v/>
      </c>
      <c r="W14" s="104">
        <f>IF($P$12="12",6,"")</f>
        <v>6</v>
      </c>
      <c r="X14" s="104" t="str">
        <f>IF($P$13="12",7,"")</f>
        <v/>
      </c>
      <c r="Y14" s="105" t="str">
        <f>IF($P$14="12",8,"")</f>
        <v/>
      </c>
    </row>
    <row r="15" spans="1:25" ht="9" customHeight="1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"/>
      <c r="O15" s="3"/>
      <c r="Q15" s="97" t="str">
        <f t="shared" si="1"/>
        <v xml:space="preserve">       </v>
      </c>
      <c r="R15" s="98" t="str">
        <f>IF($P$7="43",1,"")</f>
        <v/>
      </c>
      <c r="S15" s="98" t="str">
        <f>IF($P$8="43",2,"")</f>
        <v/>
      </c>
      <c r="T15" s="98" t="str">
        <f>IF($P$9="43",3,"")</f>
        <v/>
      </c>
      <c r="U15" s="98" t="str">
        <f>IF($P$10="43",4,"")</f>
        <v/>
      </c>
      <c r="V15" s="98" t="str">
        <f>IF($P$11="43",5,"")</f>
        <v/>
      </c>
      <c r="W15" s="98" t="str">
        <f>IF($P$12="43",6,"")</f>
        <v/>
      </c>
      <c r="X15" s="98" t="str">
        <f>IF($P$13="43",7,"")</f>
        <v/>
      </c>
      <c r="Y15" s="99" t="str">
        <f>IF($P$14="43",8,"")</f>
        <v/>
      </c>
    </row>
    <row r="16" spans="1:25">
      <c r="A16" s="7"/>
      <c r="B16" s="110" t="s">
        <v>229</v>
      </c>
      <c r="C16" s="160" t="s">
        <v>225</v>
      </c>
      <c r="D16" s="159"/>
      <c r="E16" s="160" t="s">
        <v>226</v>
      </c>
      <c r="F16" s="159"/>
      <c r="G16" s="159"/>
      <c r="H16" s="159"/>
      <c r="I16" s="159"/>
      <c r="J16" s="188" t="s">
        <v>345</v>
      </c>
      <c r="K16" s="189"/>
      <c r="L16" s="190"/>
      <c r="M16" s="187" t="s">
        <v>347</v>
      </c>
      <c r="N16" s="8"/>
      <c r="O16" s="3"/>
      <c r="Q16" s="100" t="str">
        <f t="shared" si="1"/>
        <v xml:space="preserve">  3     </v>
      </c>
      <c r="R16" s="101" t="str">
        <f>IF($P$7="33",1,"")</f>
        <v/>
      </c>
      <c r="S16" s="101" t="str">
        <f>IF($P$8="33",2,"")</f>
        <v/>
      </c>
      <c r="T16" s="101">
        <f>IF($P$9="33",3,"")</f>
        <v>3</v>
      </c>
      <c r="U16" s="101" t="str">
        <f>IF($P$10="33",4,"")</f>
        <v/>
      </c>
      <c r="V16" s="101" t="str">
        <f>IF($P$11="33",5,"")</f>
        <v/>
      </c>
      <c r="W16" s="101" t="str">
        <f>IF($P$12="33",6,"")</f>
        <v/>
      </c>
      <c r="X16" s="101" t="str">
        <f>IF($P$13="33",7,"")</f>
        <v/>
      </c>
      <c r="Y16" s="102" t="str">
        <f>IF($P$14="33",8,"")</f>
        <v/>
      </c>
    </row>
    <row r="17" spans="1:25" ht="22" customHeight="1">
      <c r="A17" s="7"/>
      <c r="B17" s="113">
        <v>1</v>
      </c>
      <c r="C17" s="166" t="s">
        <v>77</v>
      </c>
      <c r="D17" s="166"/>
      <c r="E17" s="166" t="s">
        <v>100</v>
      </c>
      <c r="F17" s="166"/>
      <c r="G17" s="166"/>
      <c r="H17" s="166"/>
      <c r="I17" s="166"/>
      <c r="J17" s="166" t="s">
        <v>78</v>
      </c>
      <c r="K17" s="166"/>
      <c r="L17" s="166"/>
      <c r="M17" s="120" t="s">
        <v>346</v>
      </c>
      <c r="N17" s="8"/>
      <c r="O17" s="3"/>
      <c r="Q17" s="100" t="str">
        <f t="shared" si="1"/>
        <v xml:space="preserve">       </v>
      </c>
      <c r="R17" s="101" t="str">
        <f>IF($P$7="23",1,"")</f>
        <v/>
      </c>
      <c r="S17" s="101" t="str">
        <f>IF($P$8="23",2,"")</f>
        <v/>
      </c>
      <c r="T17" s="101" t="str">
        <f>IF($P$9="23",3,"")</f>
        <v/>
      </c>
      <c r="U17" s="101" t="str">
        <f>IF($P$10="23",4,"")</f>
        <v/>
      </c>
      <c r="V17" s="101" t="str">
        <f>IF($P$11="23",5,"")</f>
        <v/>
      </c>
      <c r="W17" s="101" t="str">
        <f>IF($P$12="23",6,"")</f>
        <v/>
      </c>
      <c r="X17" s="101" t="str">
        <f>IF($P$13="23",7,"")</f>
        <v/>
      </c>
      <c r="Y17" s="102" t="str">
        <f>IF($P$14="23",8,"")</f>
        <v/>
      </c>
    </row>
    <row r="18" spans="1:25" ht="22" customHeight="1">
      <c r="A18" s="7"/>
      <c r="B18" s="113">
        <v>2</v>
      </c>
      <c r="C18" s="166" t="s">
        <v>343</v>
      </c>
      <c r="D18" s="166"/>
      <c r="E18" s="167" t="s">
        <v>344</v>
      </c>
      <c r="F18" s="168"/>
      <c r="G18" s="168"/>
      <c r="H18" s="168"/>
      <c r="I18" s="169"/>
      <c r="J18" s="166" t="s">
        <v>350</v>
      </c>
      <c r="K18" s="166"/>
      <c r="L18" s="166"/>
      <c r="M18" s="120" t="s">
        <v>348</v>
      </c>
      <c r="N18" s="8"/>
      <c r="O18" s="3"/>
      <c r="Q18" s="103" t="str">
        <f t="shared" si="1"/>
        <v xml:space="preserve">       </v>
      </c>
      <c r="R18" s="104" t="str">
        <f>IF($P$7="13",1,"")</f>
        <v/>
      </c>
      <c r="S18" s="104" t="str">
        <f>IF($P$8="13",2,"")</f>
        <v/>
      </c>
      <c r="T18" s="104" t="str">
        <f>IF($P$9="13",3,"")</f>
        <v/>
      </c>
      <c r="U18" s="104" t="str">
        <f>IF($P$10="13",4,"")</f>
        <v/>
      </c>
      <c r="V18" s="104" t="str">
        <f>IF($P$11="13",5,"")</f>
        <v/>
      </c>
      <c r="W18" s="104" t="str">
        <f>IF($P$12="13",6,"")</f>
        <v/>
      </c>
      <c r="X18" s="104" t="str">
        <f>IF($P$13="13",7,"")</f>
        <v/>
      </c>
      <c r="Y18" s="105" t="str">
        <f>IF($P$14="13",8,"")</f>
        <v/>
      </c>
    </row>
    <row r="19" spans="1:25" ht="22" customHeight="1">
      <c r="A19" s="7"/>
      <c r="B19" s="113" t="s">
        <v>351</v>
      </c>
      <c r="C19" s="166" t="s">
        <v>352</v>
      </c>
      <c r="D19" s="166"/>
      <c r="E19" s="167" t="s">
        <v>353</v>
      </c>
      <c r="F19" s="168"/>
      <c r="G19" s="168"/>
      <c r="H19" s="168"/>
      <c r="I19" s="169"/>
      <c r="J19" s="166" t="s">
        <v>354</v>
      </c>
      <c r="K19" s="166"/>
      <c r="L19" s="166"/>
      <c r="M19" s="120" t="s">
        <v>348</v>
      </c>
      <c r="N19" s="8"/>
      <c r="O19" s="3"/>
      <c r="Q19" s="103" t="str">
        <f t="shared" ref="Q19:Q23" si="6">CONCATENATE(R19," ",S19," ",T19," ",U19," ",V19," ",W19," ",X19," ",Y19)</f>
        <v xml:space="preserve">       </v>
      </c>
      <c r="R19" s="104" t="str">
        <f>IF($P$7="13",1,"")</f>
        <v/>
      </c>
      <c r="S19" s="104" t="str">
        <f>IF($P$8="13",2,"")</f>
        <v/>
      </c>
      <c r="T19" s="104" t="str">
        <f>IF($P$9="13",3,"")</f>
        <v/>
      </c>
      <c r="U19" s="104" t="str">
        <f>IF($P$10="13",4,"")</f>
        <v/>
      </c>
      <c r="V19" s="104" t="str">
        <f>IF($P$11="13",5,"")</f>
        <v/>
      </c>
      <c r="W19" s="104" t="str">
        <f>IF($P$12="13",6,"")</f>
        <v/>
      </c>
      <c r="X19" s="104" t="str">
        <f>IF($P$13="13",7,"")</f>
        <v/>
      </c>
      <c r="Y19" s="105" t="str">
        <f>IF($P$14="13",8,"")</f>
        <v/>
      </c>
    </row>
    <row r="20" spans="1:25" ht="22" customHeight="1">
      <c r="A20" s="7"/>
      <c r="B20" s="113">
        <v>3</v>
      </c>
      <c r="C20" s="166" t="s">
        <v>79</v>
      </c>
      <c r="D20" s="166"/>
      <c r="E20" s="167" t="s">
        <v>80</v>
      </c>
      <c r="F20" s="168"/>
      <c r="G20" s="168"/>
      <c r="H20" s="168"/>
      <c r="I20" s="169"/>
      <c r="J20" s="166" t="s">
        <v>81</v>
      </c>
      <c r="K20" s="166"/>
      <c r="L20" s="166"/>
      <c r="M20" s="120" t="s">
        <v>348</v>
      </c>
      <c r="N20" s="8"/>
      <c r="O20" s="3"/>
      <c r="Q20" s="103" t="str">
        <f t="shared" si="6"/>
        <v xml:space="preserve">       </v>
      </c>
      <c r="R20" s="104" t="str">
        <f>IF($P$7="13",1,"")</f>
        <v/>
      </c>
      <c r="S20" s="104" t="str">
        <f>IF($P$8="13",2,"")</f>
        <v/>
      </c>
      <c r="T20" s="104" t="str">
        <f>IF($P$9="13",3,"")</f>
        <v/>
      </c>
      <c r="U20" s="104" t="str">
        <f>IF($P$10="13",4,"")</f>
        <v/>
      </c>
      <c r="V20" s="104" t="str">
        <f>IF($P$11="13",5,"")</f>
        <v/>
      </c>
      <c r="W20" s="104" t="str">
        <f>IF($P$12="13",6,"")</f>
        <v/>
      </c>
      <c r="X20" s="104" t="str">
        <f>IF($P$13="13",7,"")</f>
        <v/>
      </c>
      <c r="Y20" s="105" t="str">
        <f>IF($P$14="13",8,"")</f>
        <v/>
      </c>
    </row>
    <row r="21" spans="1:25" ht="22" customHeight="1">
      <c r="A21" s="7"/>
      <c r="B21" s="113">
        <v>4</v>
      </c>
      <c r="C21" s="166" t="s">
        <v>355</v>
      </c>
      <c r="D21" s="166"/>
      <c r="E21" s="167" t="s">
        <v>356</v>
      </c>
      <c r="F21" s="168"/>
      <c r="G21" s="168"/>
      <c r="H21" s="168"/>
      <c r="I21" s="169"/>
      <c r="J21" s="166" t="s">
        <v>349</v>
      </c>
      <c r="K21" s="166"/>
      <c r="L21" s="166"/>
      <c r="M21" s="120" t="s">
        <v>346</v>
      </c>
      <c r="N21" s="8"/>
      <c r="O21" s="3"/>
      <c r="Q21" s="103" t="str">
        <f t="shared" si="6"/>
        <v xml:space="preserve">       </v>
      </c>
      <c r="R21" s="104" t="str">
        <f>IF($P$7="13",1,"")</f>
        <v/>
      </c>
      <c r="S21" s="104" t="str">
        <f>IF($P$8="13",2,"")</f>
        <v/>
      </c>
      <c r="T21" s="104" t="str">
        <f>IF($P$9="13",3,"")</f>
        <v/>
      </c>
      <c r="U21" s="104" t="str">
        <f>IF($P$10="13",4,"")</f>
        <v/>
      </c>
      <c r="V21" s="104" t="str">
        <f>IF($P$11="13",5,"")</f>
        <v/>
      </c>
      <c r="W21" s="104" t="str">
        <f>IF($P$12="13",6,"")</f>
        <v/>
      </c>
      <c r="X21" s="104" t="str">
        <f>IF($P$13="13",7,"")</f>
        <v/>
      </c>
      <c r="Y21" s="105" t="str">
        <f>IF($P$14="13",8,"")</f>
        <v/>
      </c>
    </row>
    <row r="22" spans="1:25" ht="22" customHeight="1">
      <c r="A22" s="7"/>
      <c r="B22" s="113">
        <v>5</v>
      </c>
      <c r="C22" s="166" t="s">
        <v>357</v>
      </c>
      <c r="D22" s="166"/>
      <c r="E22" s="191">
        <v>5</v>
      </c>
      <c r="F22" s="192"/>
      <c r="G22" s="192"/>
      <c r="H22" s="192"/>
      <c r="I22" s="193"/>
      <c r="J22" s="166" t="s">
        <v>81</v>
      </c>
      <c r="K22" s="166"/>
      <c r="L22" s="166"/>
      <c r="M22" s="120" t="s">
        <v>348</v>
      </c>
      <c r="N22" s="8"/>
      <c r="O22" s="3"/>
      <c r="Q22" s="103" t="str">
        <f t="shared" si="6"/>
        <v xml:space="preserve">       </v>
      </c>
      <c r="R22" s="104" t="str">
        <f>IF($P$7="13",1,"")</f>
        <v/>
      </c>
      <c r="S22" s="104" t="str">
        <f>IF($P$8="13",2,"")</f>
        <v/>
      </c>
      <c r="T22" s="104" t="str">
        <f>IF($P$9="13",3,"")</f>
        <v/>
      </c>
      <c r="U22" s="104" t="str">
        <f>IF($P$10="13",4,"")</f>
        <v/>
      </c>
      <c r="V22" s="104" t="str">
        <f>IF($P$11="13",5,"")</f>
        <v/>
      </c>
      <c r="W22" s="104" t="str">
        <f>IF($P$12="13",6,"")</f>
        <v/>
      </c>
      <c r="X22" s="104" t="str">
        <f>IF($P$13="13",7,"")</f>
        <v/>
      </c>
      <c r="Y22" s="105" t="str">
        <f>IF($P$14="13",8,"")</f>
        <v/>
      </c>
    </row>
    <row r="23" spans="1:25" ht="22" customHeight="1">
      <c r="A23" s="7"/>
      <c r="B23" s="113">
        <v>6</v>
      </c>
      <c r="C23" s="166" t="s">
        <v>358</v>
      </c>
      <c r="D23" s="166"/>
      <c r="E23" s="167" t="s">
        <v>359</v>
      </c>
      <c r="F23" s="168"/>
      <c r="G23" s="168"/>
      <c r="H23" s="168"/>
      <c r="I23" s="169"/>
      <c r="J23" s="166" t="s">
        <v>81</v>
      </c>
      <c r="K23" s="166"/>
      <c r="L23" s="166"/>
      <c r="M23" s="120" t="s">
        <v>346</v>
      </c>
      <c r="N23" s="8"/>
      <c r="O23" s="3"/>
      <c r="Q23" s="103" t="str">
        <f t="shared" si="6"/>
        <v xml:space="preserve">       </v>
      </c>
      <c r="R23" s="104" t="str">
        <f>IF($P$7="13",1,"")</f>
        <v/>
      </c>
      <c r="S23" s="104" t="str">
        <f>IF($P$8="13",2,"")</f>
        <v/>
      </c>
      <c r="T23" s="104" t="str">
        <f>IF($P$9="13",3,"")</f>
        <v/>
      </c>
      <c r="U23" s="104" t="str">
        <f>IF($P$10="13",4,"")</f>
        <v/>
      </c>
      <c r="V23" s="104" t="str">
        <f>IF($P$11="13",5,"")</f>
        <v/>
      </c>
      <c r="W23" s="104" t="str">
        <f>IF($P$12="13",6,"")</f>
        <v/>
      </c>
      <c r="X23" s="104" t="str">
        <f>IF($P$13="13",7,"")</f>
        <v/>
      </c>
      <c r="Y23" s="105" t="str">
        <f>IF($P$14="13",8,"")</f>
        <v/>
      </c>
    </row>
    <row r="24" spans="1:25" ht="22" customHeight="1">
      <c r="A24" s="7"/>
      <c r="B24" s="113">
        <v>7</v>
      </c>
      <c r="C24" s="166" t="s">
        <v>79</v>
      </c>
      <c r="D24" s="166"/>
      <c r="E24" s="167" t="s">
        <v>80</v>
      </c>
      <c r="F24" s="168"/>
      <c r="G24" s="168"/>
      <c r="H24" s="168"/>
      <c r="I24" s="169"/>
      <c r="J24" s="166" t="s">
        <v>360</v>
      </c>
      <c r="K24" s="166"/>
      <c r="L24" s="166"/>
      <c r="M24" s="120" t="s">
        <v>348</v>
      </c>
      <c r="N24" s="8"/>
      <c r="O24" s="3"/>
      <c r="Q24" s="97" t="str">
        <f t="shared" si="1"/>
        <v xml:space="preserve"> 2      </v>
      </c>
      <c r="R24" s="98" t="str">
        <f>IF($P$7="44",1,"")</f>
        <v/>
      </c>
      <c r="S24" s="98">
        <f>IF($P$8="44",2,"")</f>
        <v>2</v>
      </c>
      <c r="T24" s="98" t="str">
        <f>IF($P$9="44",3,"")</f>
        <v/>
      </c>
      <c r="U24" s="98" t="str">
        <f>IF($P$10="44",4,"")</f>
        <v/>
      </c>
      <c r="V24" s="98" t="str">
        <f>IF($P$11="44",5,"")</f>
        <v/>
      </c>
      <c r="W24" s="98" t="str">
        <f>IF($P$12="44",6,"")</f>
        <v/>
      </c>
      <c r="X24" s="98" t="str">
        <f>IF($P$13="44",7,"")</f>
        <v/>
      </c>
      <c r="Y24" s="99" t="str">
        <f>IF($P$14="44",8,"")</f>
        <v/>
      </c>
    </row>
    <row r="25" spans="1:25">
      <c r="A25" s="7"/>
      <c r="B25" s="3"/>
      <c r="C25" s="123" t="s">
        <v>20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8"/>
      <c r="O25" s="3"/>
      <c r="Q25" s="100" t="str">
        <f t="shared" si="1"/>
        <v xml:space="preserve">      7 </v>
      </c>
      <c r="R25" s="101" t="str">
        <f>IF($P$7="34",1,"")</f>
        <v/>
      </c>
      <c r="S25" s="101" t="str">
        <f>IF($P$8="34",2,"")</f>
        <v/>
      </c>
      <c r="T25" s="101" t="str">
        <f>IF($P$9="34",3,"")</f>
        <v/>
      </c>
      <c r="U25" s="101" t="str">
        <f>IF($P$10="34",4,"")</f>
        <v/>
      </c>
      <c r="V25" s="101" t="str">
        <f>IF($P$11="34",5,"")</f>
        <v/>
      </c>
      <c r="W25" s="101" t="str">
        <f>IF($P$12="34",6,"")</f>
        <v/>
      </c>
      <c r="X25" s="101">
        <f>IF($P$13="34",7,"")</f>
        <v>7</v>
      </c>
      <c r="Y25" s="102" t="str">
        <f>IF($P$14="34",8,"")</f>
        <v/>
      </c>
    </row>
    <row r="26" spans="1:25" ht="6" customHeight="1" thickBot="1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O26" s="3"/>
      <c r="Q26" s="100" t="str">
        <f t="shared" si="1"/>
        <v xml:space="preserve">       </v>
      </c>
      <c r="R26" s="101" t="str">
        <f>IF($P$7="24",1,"")</f>
        <v/>
      </c>
      <c r="S26" s="101" t="str">
        <f>IF($P$8="24",2,"")</f>
        <v/>
      </c>
      <c r="T26" s="101" t="str">
        <f>IF($P$9="24",3,"")</f>
        <v/>
      </c>
      <c r="U26" s="101" t="str">
        <f>IF($P$10="24",4,"")</f>
        <v/>
      </c>
      <c r="V26" s="101" t="str">
        <f>IF($P$11="24",5,"")</f>
        <v/>
      </c>
      <c r="W26" s="101" t="str">
        <f>IF($P$12="24",6,"")</f>
        <v/>
      </c>
      <c r="X26" s="101" t="str">
        <f>IF($P$13="24",7,"")</f>
        <v/>
      </c>
      <c r="Y26" s="102" t="str">
        <f>IF($P$14="24",8,"")</f>
        <v/>
      </c>
    </row>
    <row r="27" spans="1:25">
      <c r="Q27" s="103" t="str">
        <f t="shared" si="1"/>
        <v xml:space="preserve">       </v>
      </c>
      <c r="R27" s="104" t="str">
        <f>IF($P$7="14",1,"")</f>
        <v/>
      </c>
      <c r="S27" s="104" t="str">
        <f>IF($P$8="14",2,"")</f>
        <v/>
      </c>
      <c r="T27" s="104" t="str">
        <f>IF($P$9="14",3,"")</f>
        <v/>
      </c>
      <c r="U27" s="104" t="str">
        <f>IF($P$10="14",4,"")</f>
        <v/>
      </c>
      <c r="V27" s="104" t="str">
        <f>IF($P$11="14",5,"")</f>
        <v/>
      </c>
      <c r="W27" s="104" t="str">
        <f>IF($P$12="14",6,"")</f>
        <v/>
      </c>
      <c r="X27" s="104" t="str">
        <f>IF($P$13="14",7,"")</f>
        <v/>
      </c>
      <c r="Y27" s="105" t="str">
        <f>IF($P$14="14",8,"")</f>
        <v/>
      </c>
    </row>
    <row r="30" spans="1:25">
      <c r="C30" s="60" t="s">
        <v>87</v>
      </c>
      <c r="D30" s="61"/>
      <c r="E30" s="61"/>
      <c r="F30" s="61"/>
      <c r="G30" s="61"/>
      <c r="H30" s="61"/>
      <c r="I30" s="61"/>
      <c r="J30" s="61"/>
      <c r="K30" s="62"/>
    </row>
    <row r="31" spans="1:25">
      <c r="C31" s="63"/>
      <c r="D31" s="35"/>
      <c r="E31" s="35"/>
      <c r="F31" s="35"/>
      <c r="G31" s="35"/>
      <c r="H31" s="35"/>
      <c r="I31" s="35"/>
      <c r="J31" s="35"/>
      <c r="K31" s="64"/>
    </row>
    <row r="32" spans="1:25">
      <c r="C32" s="63" t="s">
        <v>230</v>
      </c>
      <c r="D32" s="35"/>
      <c r="E32" s="35"/>
      <c r="F32" s="35"/>
      <c r="G32" s="35"/>
      <c r="H32" s="35"/>
      <c r="I32" s="35"/>
      <c r="J32" s="35"/>
      <c r="K32" s="64"/>
    </row>
    <row r="33" spans="3:11">
      <c r="C33" s="63" t="s">
        <v>231</v>
      </c>
      <c r="D33" s="35"/>
      <c r="E33" s="35"/>
      <c r="F33" s="35"/>
      <c r="G33" s="35"/>
      <c r="H33" s="35"/>
      <c r="I33" s="35"/>
      <c r="J33" s="35"/>
      <c r="K33" s="64"/>
    </row>
    <row r="34" spans="3:11">
      <c r="C34" s="63" t="s">
        <v>232</v>
      </c>
      <c r="D34" s="35"/>
      <c r="E34" s="35"/>
      <c r="F34" s="35"/>
      <c r="G34" s="35"/>
      <c r="H34" s="35"/>
      <c r="I34" s="35"/>
      <c r="J34" s="35"/>
      <c r="K34" s="64"/>
    </row>
    <row r="35" spans="3:11">
      <c r="C35" s="63" t="s">
        <v>233</v>
      </c>
      <c r="D35" s="35"/>
      <c r="E35" s="35"/>
      <c r="F35" s="35"/>
      <c r="G35" s="35"/>
      <c r="H35" s="35"/>
      <c r="I35" s="35"/>
      <c r="J35" s="35"/>
      <c r="K35" s="64"/>
    </row>
    <row r="36" spans="3:11">
      <c r="C36" s="63" t="s">
        <v>234</v>
      </c>
      <c r="D36" s="35"/>
      <c r="E36" s="35"/>
      <c r="F36" s="35"/>
      <c r="G36" s="35"/>
      <c r="H36" s="35"/>
      <c r="I36" s="35"/>
      <c r="J36" s="35"/>
      <c r="K36" s="64"/>
    </row>
    <row r="37" spans="3:11">
      <c r="C37" s="65" t="s">
        <v>235</v>
      </c>
      <c r="D37" s="66"/>
      <c r="E37" s="66"/>
      <c r="F37" s="66"/>
      <c r="G37" s="66"/>
      <c r="H37" s="66"/>
      <c r="I37" s="66"/>
      <c r="J37" s="66"/>
      <c r="K37" s="67"/>
    </row>
    <row r="39" spans="3:11">
      <c r="C39" s="117" t="s">
        <v>134</v>
      </c>
    </row>
    <row r="40" spans="3:11">
      <c r="C40" s="116" t="s">
        <v>132</v>
      </c>
    </row>
    <row r="41" spans="3:11">
      <c r="C41" t="s">
        <v>133</v>
      </c>
    </row>
  </sheetData>
  <mergeCells count="34">
    <mergeCell ref="C23:D23"/>
    <mergeCell ref="E23:I23"/>
    <mergeCell ref="J23:L23"/>
    <mergeCell ref="J16:L16"/>
    <mergeCell ref="E21:I21"/>
    <mergeCell ref="J21:L21"/>
    <mergeCell ref="C22:D22"/>
    <mergeCell ref="E22:I22"/>
    <mergeCell ref="J22:L22"/>
    <mergeCell ref="J17:L17"/>
    <mergeCell ref="J18:L18"/>
    <mergeCell ref="J24:L24"/>
    <mergeCell ref="C17:D17"/>
    <mergeCell ref="C18:D18"/>
    <mergeCell ref="C24:D24"/>
    <mergeCell ref="E17:I17"/>
    <mergeCell ref="E18:I18"/>
    <mergeCell ref="E24:I24"/>
    <mergeCell ref="C19:D19"/>
    <mergeCell ref="E19:I19"/>
    <mergeCell ref="J19:L19"/>
    <mergeCell ref="C20:D20"/>
    <mergeCell ref="E20:I20"/>
    <mergeCell ref="J20:L20"/>
    <mergeCell ref="C21:D21"/>
    <mergeCell ref="K2:M2"/>
    <mergeCell ref="B2:G2"/>
    <mergeCell ref="B3:G3"/>
    <mergeCell ref="B6:G6"/>
    <mergeCell ref="E16:I16"/>
    <mergeCell ref="C16:D16"/>
    <mergeCell ref="D4:E4"/>
    <mergeCell ref="K12:L12"/>
    <mergeCell ref="I5:M5"/>
  </mergeCells>
  <phoneticPr fontId="5" type="noConversion"/>
  <pageMargins left="0.75196850393700787" right="0.75196850393700787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93"/>
  <sheetViews>
    <sheetView workbookViewId="0">
      <selection activeCell="F3" sqref="F3"/>
    </sheetView>
  </sheetViews>
  <sheetFormatPr baseColWidth="10" defaultRowHeight="13" x14ac:dyDescent="0"/>
  <cols>
    <col min="1" max="1" width="2.5703125" customWidth="1"/>
    <col min="2" max="2" width="16.7109375" style="30" customWidth="1"/>
    <col min="3" max="3" width="2.7109375" style="30" customWidth="1"/>
    <col min="4" max="4" width="16.7109375" style="30" customWidth="1"/>
    <col min="5" max="5" width="3.140625" style="30" customWidth="1"/>
    <col min="6" max="6" width="16.7109375" style="30" customWidth="1"/>
    <col min="7" max="7" width="3" style="30" customWidth="1"/>
    <col min="8" max="8" width="16.7109375" style="30" customWidth="1"/>
    <col min="9" max="9" width="2.85546875" style="30" customWidth="1"/>
    <col min="10" max="10" width="16.7109375" style="30" customWidth="1"/>
    <col min="11" max="11" width="2.85546875" customWidth="1"/>
    <col min="12" max="12" width="16.7109375" customWidth="1"/>
    <col min="13" max="13" width="2.85546875" customWidth="1"/>
    <col min="14" max="14" width="16.7109375" customWidth="1"/>
    <col min="15" max="15" width="2.85546875" customWidth="1"/>
    <col min="16" max="16" width="16.7109375" customWidth="1"/>
    <col min="17" max="17" width="2.85546875" customWidth="1"/>
    <col min="18" max="18" width="16.7109375" customWidth="1"/>
    <col min="19" max="19" width="2.85546875" customWidth="1"/>
    <col min="20" max="20" width="16.7109375" customWidth="1"/>
    <col min="21" max="21" width="2.85546875" customWidth="1"/>
    <col min="22" max="22" width="16.7109375" customWidth="1"/>
    <col min="23" max="23" width="2.85546875" customWidth="1"/>
    <col min="24" max="24" width="16.7109375" customWidth="1"/>
    <col min="25" max="25" width="2" customWidth="1"/>
  </cols>
  <sheetData>
    <row r="1" spans="1:25">
      <c r="A1" s="4"/>
      <c r="B1" s="183" t="s">
        <v>361</v>
      </c>
      <c r="C1" s="121"/>
      <c r="D1" s="121"/>
      <c r="E1" s="121"/>
      <c r="F1" s="121"/>
      <c r="G1" s="121"/>
      <c r="H1" s="121"/>
      <c r="I1" s="121"/>
      <c r="J1" s="121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</row>
    <row r="2" spans="1:25" ht="5" customHeight="1" thickBot="1">
      <c r="A2" s="7"/>
      <c r="B2" s="35"/>
      <c r="C2" s="35"/>
      <c r="D2" s="35"/>
      <c r="E2" s="35"/>
      <c r="F2" s="35"/>
      <c r="G2" s="35"/>
      <c r="H2" s="35"/>
      <c r="I2" s="35"/>
      <c r="J2" s="3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8"/>
    </row>
    <row r="3" spans="1:25" ht="14" thickBot="1">
      <c r="A3" s="7"/>
      <c r="B3" s="13" t="s">
        <v>111</v>
      </c>
      <c r="C3" s="121"/>
      <c r="D3" s="38"/>
      <c r="E3" s="35"/>
      <c r="F3" s="35"/>
      <c r="G3" s="35"/>
      <c r="H3" s="170" t="str">
        <f>Projektsteckbrief!E5</f>
        <v>XAZ.12</v>
      </c>
      <c r="I3" s="171"/>
      <c r="J3" s="172"/>
      <c r="K3" s="3"/>
      <c r="L3" s="173" t="s">
        <v>201</v>
      </c>
      <c r="M3" s="3"/>
      <c r="N3" s="44" t="s">
        <v>112</v>
      </c>
      <c r="O3" s="3"/>
      <c r="P3" s="3"/>
      <c r="Q3" s="3"/>
      <c r="R3" s="3"/>
      <c r="S3" s="3"/>
      <c r="T3" s="3"/>
      <c r="U3" s="3"/>
      <c r="V3" s="3"/>
      <c r="W3" s="3"/>
      <c r="X3" s="3"/>
      <c r="Y3" s="8"/>
    </row>
    <row r="4" spans="1:25">
      <c r="A4" s="7"/>
      <c r="B4" s="39"/>
      <c r="C4" s="35"/>
      <c r="D4" s="40"/>
      <c r="E4" s="35"/>
      <c r="F4" s="35"/>
      <c r="G4" s="35"/>
      <c r="H4" s="175" t="s">
        <v>157</v>
      </c>
      <c r="I4" s="176"/>
      <c r="J4" s="177"/>
      <c r="K4" s="3"/>
      <c r="L4" s="173"/>
      <c r="M4" s="3"/>
      <c r="N4" s="32"/>
      <c r="O4" s="3"/>
      <c r="P4" s="3"/>
      <c r="Q4" s="3"/>
      <c r="R4" s="3"/>
      <c r="S4" s="3"/>
      <c r="T4" s="3"/>
      <c r="U4" s="3"/>
      <c r="V4" s="3"/>
      <c r="W4" s="3"/>
      <c r="X4" s="3"/>
      <c r="Y4" s="8"/>
    </row>
    <row r="5" spans="1:25" ht="16">
      <c r="A5" s="7"/>
      <c r="B5" s="148" t="str">
        <f>Projektsteckbrief!D3</f>
        <v>Hausbau X</v>
      </c>
      <c r="C5" s="174"/>
      <c r="D5" s="150"/>
      <c r="E5" s="35"/>
      <c r="F5" s="35"/>
      <c r="G5" s="35"/>
      <c r="H5" s="175"/>
      <c r="I5" s="176"/>
      <c r="J5" s="177"/>
      <c r="K5" s="3"/>
      <c r="L5" s="173"/>
      <c r="M5" s="3"/>
      <c r="N5" s="128" t="s">
        <v>200</v>
      </c>
      <c r="O5" s="3"/>
      <c r="P5" s="3"/>
      <c r="Q5" s="3"/>
      <c r="R5" s="3"/>
      <c r="S5" s="3"/>
      <c r="T5" s="3"/>
      <c r="U5" s="3"/>
      <c r="V5" s="3"/>
      <c r="W5" s="3"/>
      <c r="X5" s="3"/>
      <c r="Y5" s="8"/>
    </row>
    <row r="6" spans="1:25">
      <c r="A6" s="7"/>
      <c r="B6" s="151"/>
      <c r="C6" s="174"/>
      <c r="D6" s="150"/>
      <c r="E6" s="35"/>
      <c r="F6" s="35"/>
      <c r="G6" s="35"/>
      <c r="H6" s="175"/>
      <c r="I6" s="176"/>
      <c r="J6" s="177"/>
      <c r="K6" s="3"/>
      <c r="L6" s="173"/>
      <c r="M6" s="3"/>
      <c r="N6" s="32"/>
      <c r="O6" s="3"/>
      <c r="P6" s="3"/>
      <c r="Q6" s="3"/>
      <c r="R6" s="3"/>
      <c r="S6" s="3"/>
      <c r="T6" s="3"/>
      <c r="U6" s="3"/>
      <c r="V6" s="3"/>
      <c r="W6" s="3"/>
      <c r="X6" s="3"/>
      <c r="Y6" s="8"/>
    </row>
    <row r="7" spans="1:25" ht="14" thickBot="1">
      <c r="A7" s="7"/>
      <c r="B7" s="41"/>
      <c r="C7" s="42"/>
      <c r="D7" s="43"/>
      <c r="E7" s="35"/>
      <c r="F7" s="35"/>
      <c r="G7" s="35"/>
      <c r="H7" s="178"/>
      <c r="I7" s="179"/>
      <c r="J7" s="180"/>
      <c r="K7" s="3"/>
      <c r="L7" s="173"/>
      <c r="M7" s="3"/>
      <c r="N7" s="34"/>
      <c r="O7" s="3"/>
      <c r="P7" s="3"/>
      <c r="Q7" s="3"/>
      <c r="R7" s="3"/>
      <c r="S7" s="3"/>
      <c r="T7" s="3"/>
      <c r="U7" s="3"/>
      <c r="V7" s="3"/>
      <c r="W7" s="3"/>
      <c r="X7" s="3"/>
      <c r="Y7" s="8"/>
    </row>
    <row r="8" spans="1:25">
      <c r="A8" s="7"/>
      <c r="B8" s="35"/>
      <c r="C8" s="35"/>
      <c r="D8" s="35"/>
      <c r="E8" s="35"/>
      <c r="F8" s="35"/>
      <c r="G8" s="35"/>
      <c r="H8" s="35"/>
      <c r="I8" s="35"/>
      <c r="J8" s="3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8"/>
    </row>
    <row r="9" spans="1:25" ht="14" thickBot="1">
      <c r="A9" s="7"/>
      <c r="B9" s="35"/>
      <c r="C9" s="35"/>
      <c r="D9" s="35"/>
      <c r="E9" s="35"/>
      <c r="F9" s="35"/>
      <c r="G9" s="35"/>
      <c r="H9" s="35"/>
      <c r="I9" s="35"/>
      <c r="J9" s="35"/>
      <c r="K9" s="3"/>
      <c r="L9" s="35"/>
      <c r="M9" s="3"/>
      <c r="N9" s="35"/>
      <c r="O9" s="3"/>
      <c r="P9" s="35"/>
      <c r="Q9" s="3"/>
      <c r="R9" s="35"/>
      <c r="S9" s="3"/>
      <c r="T9" s="35"/>
      <c r="U9" s="3"/>
      <c r="V9" s="35"/>
      <c r="W9" s="3"/>
      <c r="X9" s="35"/>
      <c r="Y9" s="8"/>
    </row>
    <row r="10" spans="1:25" ht="14" thickBot="1">
      <c r="A10" s="7"/>
      <c r="B10" s="129" t="s">
        <v>216</v>
      </c>
      <c r="C10" s="130"/>
      <c r="D10" s="131" t="s">
        <v>217</v>
      </c>
      <c r="E10" s="130"/>
      <c r="F10" s="132" t="s">
        <v>218</v>
      </c>
      <c r="G10" s="130"/>
      <c r="H10" s="133" t="s">
        <v>219</v>
      </c>
      <c r="I10" s="130"/>
      <c r="J10" s="134" t="s">
        <v>220</v>
      </c>
      <c r="K10" s="135"/>
      <c r="L10" s="136" t="s">
        <v>198</v>
      </c>
      <c r="M10" s="135"/>
      <c r="N10" s="137" t="s">
        <v>199</v>
      </c>
      <c r="O10" s="135"/>
      <c r="P10" s="138" t="s">
        <v>303</v>
      </c>
      <c r="Q10" s="135"/>
      <c r="R10" s="139" t="s">
        <v>276</v>
      </c>
      <c r="S10" s="135"/>
      <c r="T10" s="140" t="s">
        <v>278</v>
      </c>
      <c r="U10" s="135"/>
      <c r="V10" s="141" t="s">
        <v>279</v>
      </c>
      <c r="W10" s="135"/>
      <c r="X10" s="142" t="s">
        <v>277</v>
      </c>
      <c r="Y10" s="8"/>
    </row>
    <row r="11" spans="1:25" ht="14" thickBot="1">
      <c r="A11" s="7"/>
      <c r="B11" s="129" t="str">
        <f>CONCATENATE(H3,".1")</f>
        <v>XAZ.12.1</v>
      </c>
      <c r="C11" s="130"/>
      <c r="D11" s="131" t="str">
        <f>CONCATENATE(H3,".2")</f>
        <v>XAZ.12.2</v>
      </c>
      <c r="E11" s="130"/>
      <c r="F11" s="132" t="str">
        <f>CONCATENATE(H3,".3")</f>
        <v>XAZ.12.3</v>
      </c>
      <c r="G11" s="130"/>
      <c r="H11" s="133" t="str">
        <f>CONCATENATE(H3,".4")</f>
        <v>XAZ.12.4</v>
      </c>
      <c r="I11" s="130"/>
      <c r="J11" s="134" t="str">
        <f>CONCATENATE(H3,".5")</f>
        <v>XAZ.12.5</v>
      </c>
      <c r="K11" s="135"/>
      <c r="L11" s="136" t="str">
        <f>CONCATENATE(H3,".6")</f>
        <v>XAZ.12.6</v>
      </c>
      <c r="M11" s="135"/>
      <c r="N11" s="137" t="str">
        <f>CONCATENATE($H$3,".7")</f>
        <v>XAZ.12.7</v>
      </c>
      <c r="O11" s="135"/>
      <c r="P11" s="138" t="str">
        <f>CONCATENATE(H3,".8")</f>
        <v>XAZ.12.8</v>
      </c>
      <c r="Q11" s="135"/>
      <c r="R11" s="139" t="str">
        <f>CONCATENATE($H$3,".9")</f>
        <v>XAZ.12.9</v>
      </c>
      <c r="S11" s="135"/>
      <c r="T11" s="140" t="str">
        <f>CONCATENATE($H$3,".10")</f>
        <v>XAZ.12.10</v>
      </c>
      <c r="U11" s="135"/>
      <c r="V11" s="141" t="str">
        <f>CONCATENATE($H$3,".11")</f>
        <v>XAZ.12.11</v>
      </c>
      <c r="W11" s="135"/>
      <c r="X11" s="142" t="str">
        <f>CONCATENATE($H$3,".12")</f>
        <v>XAZ.12.12</v>
      </c>
      <c r="Y11" s="8"/>
    </row>
    <row r="12" spans="1:25" ht="14" thickBot="1">
      <c r="A12" s="7"/>
      <c r="B12" s="35"/>
      <c r="C12" s="35"/>
      <c r="D12" s="35"/>
      <c r="E12" s="35"/>
      <c r="F12" s="35"/>
      <c r="G12" s="35"/>
      <c r="H12" s="35"/>
      <c r="I12" s="35"/>
      <c r="J12" s="35"/>
      <c r="K12" s="3"/>
      <c r="L12" s="35"/>
      <c r="M12" s="3"/>
      <c r="N12" s="35"/>
      <c r="O12" s="3"/>
      <c r="P12" s="35"/>
      <c r="Q12" s="3"/>
      <c r="R12" s="35"/>
      <c r="S12" s="3"/>
      <c r="T12" s="35"/>
      <c r="U12" s="3"/>
      <c r="V12" s="35"/>
      <c r="W12" s="3"/>
      <c r="X12" s="35"/>
      <c r="Y12" s="8"/>
    </row>
    <row r="13" spans="1:25">
      <c r="A13" s="7"/>
      <c r="B13" s="72" t="str">
        <f>CONCATENATE(H3,".1.1")</f>
        <v>XAZ.12.1.1</v>
      </c>
      <c r="C13" s="35"/>
      <c r="D13" s="72" t="str">
        <f>CONCATENATE($H$3,".2.1")</f>
        <v>XAZ.12.2.1</v>
      </c>
      <c r="E13" s="35"/>
      <c r="F13" s="72" t="str">
        <f>CONCATENATE($H$3,".3.1")</f>
        <v>XAZ.12.3.1</v>
      </c>
      <c r="G13" s="35"/>
      <c r="H13" s="72" t="s">
        <v>202</v>
      </c>
      <c r="I13" s="35"/>
      <c r="J13" s="72" t="s">
        <v>203</v>
      </c>
      <c r="K13" s="3"/>
      <c r="L13" s="72" t="s">
        <v>204</v>
      </c>
      <c r="M13" s="3"/>
      <c r="N13" s="72" t="s">
        <v>205</v>
      </c>
      <c r="O13" s="3"/>
      <c r="P13" s="72" t="s">
        <v>206</v>
      </c>
      <c r="Q13" s="3"/>
      <c r="R13" s="72" t="s">
        <v>272</v>
      </c>
      <c r="S13" s="3"/>
      <c r="T13" s="72" t="s">
        <v>273</v>
      </c>
      <c r="U13" s="3"/>
      <c r="V13" s="72" t="s">
        <v>274</v>
      </c>
      <c r="W13" s="3"/>
      <c r="X13" s="72" t="s">
        <v>275</v>
      </c>
      <c r="Y13" s="8"/>
    </row>
    <row r="14" spans="1:25" ht="13" customHeight="1">
      <c r="A14" s="7"/>
      <c r="B14" s="152" t="s">
        <v>224</v>
      </c>
      <c r="C14" s="35"/>
      <c r="D14" s="152" t="s">
        <v>179</v>
      </c>
      <c r="E14" s="35"/>
      <c r="F14" s="152" t="s">
        <v>191</v>
      </c>
      <c r="G14" s="35"/>
      <c r="H14" s="152" t="s">
        <v>282</v>
      </c>
      <c r="I14" s="35"/>
      <c r="J14" s="152" t="s">
        <v>301</v>
      </c>
      <c r="K14" s="3"/>
      <c r="L14" s="152" t="s">
        <v>292</v>
      </c>
      <c r="M14" s="3"/>
      <c r="N14" s="152" t="s">
        <v>283</v>
      </c>
      <c r="O14" s="3"/>
      <c r="P14" s="152" t="s">
        <v>306</v>
      </c>
      <c r="Q14" s="3"/>
      <c r="R14" s="152" t="s">
        <v>243</v>
      </c>
      <c r="S14" s="3"/>
      <c r="T14" s="152" t="s">
        <v>250</v>
      </c>
      <c r="U14" s="3"/>
      <c r="V14" s="152" t="s">
        <v>253</v>
      </c>
      <c r="W14" s="3"/>
      <c r="X14" s="152"/>
      <c r="Y14" s="8"/>
    </row>
    <row r="15" spans="1:25" ht="16">
      <c r="A15" s="7"/>
      <c r="B15" s="152"/>
      <c r="C15" s="36"/>
      <c r="D15" s="152"/>
      <c r="E15" s="35"/>
      <c r="F15" s="152"/>
      <c r="G15" s="36"/>
      <c r="H15" s="152"/>
      <c r="I15" s="35"/>
      <c r="J15" s="152"/>
      <c r="K15" s="3"/>
      <c r="L15" s="152"/>
      <c r="M15" s="3"/>
      <c r="N15" s="152"/>
      <c r="O15" s="3"/>
      <c r="P15" s="152"/>
      <c r="Q15" s="3"/>
      <c r="R15" s="152"/>
      <c r="S15" s="3"/>
      <c r="T15" s="152"/>
      <c r="U15" s="3"/>
      <c r="V15" s="152"/>
      <c r="W15" s="3"/>
      <c r="X15" s="152"/>
      <c r="Y15" s="8"/>
    </row>
    <row r="16" spans="1:25" ht="16">
      <c r="A16" s="7"/>
      <c r="B16" s="152"/>
      <c r="C16" s="36"/>
      <c r="D16" s="152"/>
      <c r="E16" s="35"/>
      <c r="F16" s="152"/>
      <c r="G16" s="36"/>
      <c r="H16" s="152"/>
      <c r="I16" s="35"/>
      <c r="J16" s="152"/>
      <c r="K16" s="3"/>
      <c r="L16" s="152"/>
      <c r="M16" s="3"/>
      <c r="N16" s="152"/>
      <c r="O16" s="3"/>
      <c r="P16" s="152"/>
      <c r="Q16" s="3"/>
      <c r="R16" s="152"/>
      <c r="S16" s="3"/>
      <c r="T16" s="152"/>
      <c r="U16" s="3"/>
      <c r="V16" s="152"/>
      <c r="W16" s="3"/>
      <c r="X16" s="152"/>
      <c r="Y16" s="8"/>
    </row>
    <row r="17" spans="1:25" ht="14" thickBot="1">
      <c r="A17" s="7"/>
      <c r="B17" s="154"/>
      <c r="C17" s="35"/>
      <c r="D17" s="154"/>
      <c r="E17" s="35"/>
      <c r="F17" s="153"/>
      <c r="G17" s="35"/>
      <c r="H17" s="153"/>
      <c r="I17" s="35"/>
      <c r="J17" s="153"/>
      <c r="K17" s="3"/>
      <c r="L17" s="153"/>
      <c r="M17" s="3"/>
      <c r="N17" s="153"/>
      <c r="O17" s="3"/>
      <c r="P17" s="153"/>
      <c r="Q17" s="3"/>
      <c r="R17" s="153"/>
      <c r="S17" s="3"/>
      <c r="T17" s="153"/>
      <c r="U17" s="3"/>
      <c r="V17" s="153"/>
      <c r="W17" s="3"/>
      <c r="X17" s="153"/>
      <c r="Y17" s="8"/>
    </row>
    <row r="18" spans="1:25">
      <c r="A18" s="7"/>
      <c r="B18" s="35"/>
      <c r="C18" s="35"/>
      <c r="D18" s="35"/>
      <c r="E18" s="35"/>
      <c r="F18" s="35"/>
      <c r="G18" s="35"/>
      <c r="H18" s="35"/>
      <c r="I18" s="35"/>
      <c r="J18" s="35"/>
      <c r="K18" s="3"/>
      <c r="L18" s="35"/>
      <c r="M18" s="3"/>
      <c r="N18" s="35"/>
      <c r="O18" s="3"/>
      <c r="P18" s="35"/>
      <c r="Q18" s="3"/>
      <c r="R18" s="35"/>
      <c r="S18" s="3"/>
      <c r="T18" s="35"/>
      <c r="U18" s="3"/>
      <c r="V18" s="35"/>
      <c r="W18" s="3"/>
      <c r="X18" s="35"/>
      <c r="Y18" s="8"/>
    </row>
    <row r="19" spans="1:25" ht="14" thickBot="1">
      <c r="A19" s="7"/>
      <c r="B19" s="35"/>
      <c r="C19" s="35"/>
      <c r="D19" s="35"/>
      <c r="E19" s="35"/>
      <c r="F19" s="35"/>
      <c r="G19" s="35"/>
      <c r="H19" s="35"/>
      <c r="I19" s="35"/>
      <c r="J19" s="35"/>
      <c r="K19" s="3"/>
      <c r="L19" s="35"/>
      <c r="M19" s="3"/>
      <c r="N19" s="35"/>
      <c r="O19" s="3"/>
      <c r="P19" s="35"/>
      <c r="Q19" s="3"/>
      <c r="R19" s="35"/>
      <c r="S19" s="3"/>
      <c r="T19" s="35"/>
      <c r="U19" s="3"/>
      <c r="V19" s="35"/>
      <c r="W19" s="3"/>
      <c r="X19" s="35"/>
      <c r="Y19" s="8"/>
    </row>
    <row r="20" spans="1:25">
      <c r="A20" s="7"/>
      <c r="B20" s="72" t="s">
        <v>207</v>
      </c>
      <c r="C20" s="35"/>
      <c r="D20" s="72" t="s">
        <v>208</v>
      </c>
      <c r="E20" s="35"/>
      <c r="F20" s="72" t="s">
        <v>209</v>
      </c>
      <c r="G20" s="35"/>
      <c r="H20" s="72" t="s">
        <v>210</v>
      </c>
      <c r="I20" s="35"/>
      <c r="J20" s="72" t="s">
        <v>211</v>
      </c>
      <c r="K20" s="3"/>
      <c r="L20" s="72" t="s">
        <v>212</v>
      </c>
      <c r="M20" s="3"/>
      <c r="N20" s="72" t="s">
        <v>214</v>
      </c>
      <c r="O20" s="3"/>
      <c r="P20" s="72" t="s">
        <v>215</v>
      </c>
      <c r="Q20" s="3"/>
      <c r="R20" s="72" t="s">
        <v>244</v>
      </c>
      <c r="S20" s="3"/>
      <c r="T20" s="72" t="s">
        <v>251</v>
      </c>
      <c r="U20" s="3"/>
      <c r="V20" s="72" t="s">
        <v>254</v>
      </c>
      <c r="W20" s="3"/>
      <c r="X20" s="72"/>
      <c r="Y20" s="8"/>
    </row>
    <row r="21" spans="1:25" ht="13" customHeight="1">
      <c r="A21" s="7"/>
      <c r="B21" s="152" t="s">
        <v>223</v>
      </c>
      <c r="C21" s="35"/>
      <c r="D21" s="152" t="s">
        <v>186</v>
      </c>
      <c r="E21" s="35"/>
      <c r="F21" s="152" t="s">
        <v>192</v>
      </c>
      <c r="G21" s="35"/>
      <c r="H21" s="152" t="s">
        <v>297</v>
      </c>
      <c r="I21" s="35"/>
      <c r="J21" s="152" t="s">
        <v>302</v>
      </c>
      <c r="K21" s="3"/>
      <c r="L21" s="152" t="s">
        <v>293</v>
      </c>
      <c r="M21" s="3"/>
      <c r="N21" s="152" t="s">
        <v>284</v>
      </c>
      <c r="O21" s="3"/>
      <c r="P21" s="152" t="s">
        <v>304</v>
      </c>
      <c r="Q21" s="3"/>
      <c r="R21" s="152" t="s">
        <v>245</v>
      </c>
      <c r="S21" s="3"/>
      <c r="T21" s="152" t="s">
        <v>252</v>
      </c>
      <c r="U21" s="3"/>
      <c r="V21" s="152"/>
      <c r="W21" s="3"/>
      <c r="X21" s="152"/>
      <c r="Y21" s="8"/>
    </row>
    <row r="22" spans="1:25" ht="16">
      <c r="A22" s="7"/>
      <c r="B22" s="152"/>
      <c r="C22" s="36"/>
      <c r="D22" s="152"/>
      <c r="E22" s="35"/>
      <c r="F22" s="152"/>
      <c r="G22" s="36"/>
      <c r="H22" s="152"/>
      <c r="I22" s="35"/>
      <c r="J22" s="152"/>
      <c r="K22" s="3"/>
      <c r="L22" s="152"/>
      <c r="M22" s="3"/>
      <c r="N22" s="152"/>
      <c r="O22" s="3"/>
      <c r="P22" s="152"/>
      <c r="Q22" s="3"/>
      <c r="R22" s="152"/>
      <c r="S22" s="3"/>
      <c r="T22" s="152"/>
      <c r="U22" s="3"/>
      <c r="V22" s="152"/>
      <c r="W22" s="3"/>
      <c r="X22" s="152"/>
      <c r="Y22" s="8"/>
    </row>
    <row r="23" spans="1:25" ht="16">
      <c r="A23" s="7"/>
      <c r="B23" s="152"/>
      <c r="C23" s="36"/>
      <c r="D23" s="152"/>
      <c r="E23" s="35"/>
      <c r="F23" s="152"/>
      <c r="G23" s="36"/>
      <c r="H23" s="152"/>
      <c r="I23" s="35"/>
      <c r="J23" s="152"/>
      <c r="K23" s="3"/>
      <c r="L23" s="152"/>
      <c r="M23" s="3"/>
      <c r="N23" s="152"/>
      <c r="O23" s="3"/>
      <c r="P23" s="152"/>
      <c r="Q23" s="3"/>
      <c r="R23" s="152"/>
      <c r="S23" s="3"/>
      <c r="T23" s="152"/>
      <c r="U23" s="3"/>
      <c r="V23" s="152"/>
      <c r="W23" s="3"/>
      <c r="X23" s="152"/>
      <c r="Y23" s="8"/>
    </row>
    <row r="24" spans="1:25" ht="14" thickBot="1">
      <c r="A24" s="7"/>
      <c r="B24" s="154"/>
      <c r="C24" s="35"/>
      <c r="D24" s="154"/>
      <c r="E24" s="35"/>
      <c r="F24" s="153"/>
      <c r="G24" s="35"/>
      <c r="H24" s="153"/>
      <c r="I24" s="35"/>
      <c r="J24" s="153"/>
      <c r="K24" s="3"/>
      <c r="L24" s="153"/>
      <c r="M24" s="3"/>
      <c r="N24" s="153"/>
      <c r="O24" s="3"/>
      <c r="P24" s="153"/>
      <c r="Q24" s="3"/>
      <c r="R24" s="153"/>
      <c r="S24" s="3"/>
      <c r="T24" s="153"/>
      <c r="U24" s="3"/>
      <c r="V24" s="153"/>
      <c r="W24" s="3"/>
      <c r="X24" s="153"/>
      <c r="Y24" s="8"/>
    </row>
    <row r="25" spans="1:25">
      <c r="A25" s="7"/>
      <c r="B25" s="35"/>
      <c r="C25" s="35"/>
      <c r="D25" s="35"/>
      <c r="E25" s="35"/>
      <c r="F25" s="35"/>
      <c r="G25" s="35"/>
      <c r="H25" s="35"/>
      <c r="I25" s="35"/>
      <c r="J25" s="35"/>
      <c r="K25" s="3"/>
      <c r="L25" s="35"/>
      <c r="M25" s="3"/>
      <c r="N25" s="35"/>
      <c r="O25" s="3"/>
      <c r="P25" s="35"/>
      <c r="Q25" s="3"/>
      <c r="R25" s="35"/>
      <c r="S25" s="3"/>
      <c r="T25" s="35"/>
      <c r="U25" s="3"/>
      <c r="V25" s="35"/>
      <c r="W25" s="3"/>
      <c r="X25" s="35"/>
      <c r="Y25" s="8"/>
    </row>
    <row r="26" spans="1:25" ht="14" thickBot="1">
      <c r="A26" s="7"/>
      <c r="B26" s="35"/>
      <c r="C26" s="35"/>
      <c r="D26" s="35"/>
      <c r="E26" s="35"/>
      <c r="F26" s="35"/>
      <c r="G26" s="35"/>
      <c r="H26" s="35"/>
      <c r="I26" s="35"/>
      <c r="J26" s="35"/>
      <c r="K26" s="3"/>
      <c r="L26" s="35"/>
      <c r="M26" s="3"/>
      <c r="N26" s="35"/>
      <c r="O26" s="3"/>
      <c r="P26" s="35"/>
      <c r="Q26" s="3"/>
      <c r="R26" s="35"/>
      <c r="S26" s="3"/>
      <c r="T26" s="35"/>
      <c r="U26" s="3"/>
      <c r="V26" s="35"/>
      <c r="W26" s="3"/>
      <c r="X26" s="35"/>
      <c r="Y26" s="8"/>
    </row>
    <row r="27" spans="1:25">
      <c r="A27" s="7"/>
      <c r="B27" s="72" t="s">
        <v>314</v>
      </c>
      <c r="C27" s="35"/>
      <c r="D27" s="72" t="s">
        <v>180</v>
      </c>
      <c r="E27" s="35"/>
      <c r="F27" s="72" t="s">
        <v>194</v>
      </c>
      <c r="G27" s="35"/>
      <c r="H27" s="72" t="s">
        <v>258</v>
      </c>
      <c r="I27" s="35"/>
      <c r="J27" s="72" t="s">
        <v>237</v>
      </c>
      <c r="K27" s="3"/>
      <c r="L27" s="72" t="s">
        <v>294</v>
      </c>
      <c r="M27" s="3"/>
      <c r="N27" s="72" t="s">
        <v>285</v>
      </c>
      <c r="O27" s="3"/>
      <c r="P27" s="72" t="s">
        <v>305</v>
      </c>
      <c r="Q27" s="3"/>
      <c r="R27" s="72" t="s">
        <v>246</v>
      </c>
      <c r="S27" s="3"/>
      <c r="T27" s="72"/>
      <c r="U27" s="3"/>
      <c r="V27" s="72"/>
      <c r="W27" s="3"/>
      <c r="X27" s="72"/>
      <c r="Y27" s="8"/>
    </row>
    <row r="28" spans="1:25" ht="13" customHeight="1">
      <c r="A28" s="7"/>
      <c r="B28" s="152" t="s">
        <v>222</v>
      </c>
      <c r="C28" s="35"/>
      <c r="D28" s="152" t="s">
        <v>181</v>
      </c>
      <c r="E28" s="35"/>
      <c r="F28" s="152" t="s">
        <v>193</v>
      </c>
      <c r="G28" s="35"/>
      <c r="H28" s="152" t="s">
        <v>298</v>
      </c>
      <c r="I28" s="35"/>
      <c r="J28" s="152" t="s">
        <v>238</v>
      </c>
      <c r="K28" s="3"/>
      <c r="L28" s="152" t="s">
        <v>295</v>
      </c>
      <c r="M28" s="3"/>
      <c r="N28" s="152" t="s">
        <v>286</v>
      </c>
      <c r="O28" s="3"/>
      <c r="P28" s="152" t="s">
        <v>307</v>
      </c>
      <c r="Q28" s="3"/>
      <c r="R28" s="152" t="s">
        <v>247</v>
      </c>
      <c r="S28" s="3"/>
      <c r="T28" s="152"/>
      <c r="U28" s="3"/>
      <c r="V28" s="152"/>
      <c r="W28" s="3"/>
      <c r="X28" s="152"/>
      <c r="Y28" s="8"/>
    </row>
    <row r="29" spans="1:25" ht="16">
      <c r="A29" s="7"/>
      <c r="B29" s="152"/>
      <c r="C29" s="36"/>
      <c r="D29" s="152"/>
      <c r="E29" s="35"/>
      <c r="F29" s="152"/>
      <c r="G29" s="36"/>
      <c r="H29" s="152"/>
      <c r="I29" s="35"/>
      <c r="J29" s="152"/>
      <c r="K29" s="3"/>
      <c r="L29" s="152"/>
      <c r="M29" s="3"/>
      <c r="N29" s="152"/>
      <c r="O29" s="3"/>
      <c r="P29" s="152"/>
      <c r="Q29" s="3"/>
      <c r="R29" s="152"/>
      <c r="S29" s="3"/>
      <c r="T29" s="152"/>
      <c r="U29" s="3"/>
      <c r="V29" s="152"/>
      <c r="W29" s="3"/>
      <c r="X29" s="152"/>
      <c r="Y29" s="8"/>
    </row>
    <row r="30" spans="1:25" ht="16">
      <c r="A30" s="7"/>
      <c r="B30" s="152"/>
      <c r="C30" s="36"/>
      <c r="D30" s="152"/>
      <c r="E30" s="35"/>
      <c r="F30" s="152"/>
      <c r="G30" s="36"/>
      <c r="H30" s="152"/>
      <c r="I30" s="35"/>
      <c r="J30" s="152"/>
      <c r="K30" s="3"/>
      <c r="L30" s="152"/>
      <c r="M30" s="3"/>
      <c r="N30" s="152"/>
      <c r="O30" s="3"/>
      <c r="P30" s="152"/>
      <c r="Q30" s="3"/>
      <c r="R30" s="152"/>
      <c r="S30" s="3"/>
      <c r="T30" s="152"/>
      <c r="U30" s="3"/>
      <c r="V30" s="152"/>
      <c r="W30" s="3"/>
      <c r="X30" s="152"/>
      <c r="Y30" s="8"/>
    </row>
    <row r="31" spans="1:25" ht="14" thickBot="1">
      <c r="A31" s="7"/>
      <c r="B31" s="154"/>
      <c r="C31" s="35"/>
      <c r="D31" s="154"/>
      <c r="E31" s="35"/>
      <c r="F31" s="153"/>
      <c r="G31" s="35"/>
      <c r="H31" s="153"/>
      <c r="I31" s="35"/>
      <c r="J31" s="153"/>
      <c r="K31" s="3"/>
      <c r="L31" s="153"/>
      <c r="M31" s="3"/>
      <c r="N31" s="153"/>
      <c r="O31" s="3"/>
      <c r="P31" s="153"/>
      <c r="Q31" s="3"/>
      <c r="R31" s="153"/>
      <c r="S31" s="3"/>
      <c r="T31" s="153"/>
      <c r="U31" s="3"/>
      <c r="V31" s="153"/>
      <c r="W31" s="3"/>
      <c r="X31" s="153"/>
      <c r="Y31" s="8"/>
    </row>
    <row r="32" spans="1:25">
      <c r="A32" s="7"/>
      <c r="B32" s="35"/>
      <c r="C32" s="35"/>
      <c r="D32" s="35"/>
      <c r="E32" s="35"/>
      <c r="F32" s="35"/>
      <c r="G32" s="35"/>
      <c r="H32" s="35"/>
      <c r="I32" s="35"/>
      <c r="J32" s="35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8"/>
    </row>
    <row r="33" spans="1:25" ht="14" thickBot="1">
      <c r="A33" s="7"/>
      <c r="B33" s="35"/>
      <c r="C33" s="35"/>
      <c r="D33" s="35"/>
      <c r="E33" s="35"/>
      <c r="F33" s="35"/>
      <c r="G33" s="35"/>
      <c r="H33" s="35"/>
      <c r="I33" s="35"/>
      <c r="J33" s="35"/>
      <c r="K33" s="3"/>
      <c r="L33" s="35"/>
      <c r="M33" s="3"/>
      <c r="N33" s="35"/>
      <c r="O33" s="3"/>
      <c r="P33" s="35"/>
      <c r="Q33" s="3"/>
      <c r="R33" s="35"/>
      <c r="S33" s="3"/>
      <c r="T33" s="35"/>
      <c r="U33" s="3"/>
      <c r="V33" s="35"/>
      <c r="W33" s="3"/>
      <c r="X33" s="35"/>
      <c r="Y33" s="8"/>
    </row>
    <row r="34" spans="1:25">
      <c r="A34" s="7"/>
      <c r="B34" s="72" t="s">
        <v>174</v>
      </c>
      <c r="C34" s="35"/>
      <c r="D34" s="72" t="s">
        <v>184</v>
      </c>
      <c r="E34" s="35"/>
      <c r="F34" s="72" t="s">
        <v>195</v>
      </c>
      <c r="G34" s="35"/>
      <c r="H34" s="72" t="s">
        <v>259</v>
      </c>
      <c r="I34" s="35"/>
      <c r="J34" s="72" t="s">
        <v>239</v>
      </c>
      <c r="K34" s="3"/>
      <c r="L34" s="72" t="s">
        <v>296</v>
      </c>
      <c r="M34" s="3"/>
      <c r="N34" s="72" t="s">
        <v>287</v>
      </c>
      <c r="O34" s="3"/>
      <c r="P34" s="72" t="s">
        <v>308</v>
      </c>
      <c r="Q34" s="3"/>
      <c r="R34" s="72" t="s">
        <v>248</v>
      </c>
      <c r="S34" s="3"/>
      <c r="T34" s="72"/>
      <c r="U34" s="3"/>
      <c r="V34" s="72"/>
      <c r="W34" s="3"/>
      <c r="X34" s="72"/>
      <c r="Y34" s="8"/>
    </row>
    <row r="35" spans="1:25">
      <c r="A35" s="7"/>
      <c r="B35" s="152" t="s">
        <v>221</v>
      </c>
      <c r="C35" s="35"/>
      <c r="D35" s="152" t="s">
        <v>185</v>
      </c>
      <c r="E35" s="35"/>
      <c r="F35" s="152" t="s">
        <v>196</v>
      </c>
      <c r="G35" s="35"/>
      <c r="H35" s="152" t="s">
        <v>299</v>
      </c>
      <c r="I35" s="35"/>
      <c r="J35" s="152" t="s">
        <v>240</v>
      </c>
      <c r="K35" s="3"/>
      <c r="L35" s="152"/>
      <c r="M35" s="3"/>
      <c r="N35" s="152" t="s">
        <v>288</v>
      </c>
      <c r="O35" s="3"/>
      <c r="P35" s="152" t="s">
        <v>309</v>
      </c>
      <c r="Q35" s="3"/>
      <c r="R35" s="152" t="s">
        <v>249</v>
      </c>
      <c r="S35" s="3"/>
      <c r="T35" s="152"/>
      <c r="U35" s="3"/>
      <c r="V35" s="152"/>
      <c r="W35" s="3"/>
      <c r="X35" s="152"/>
      <c r="Y35" s="8"/>
    </row>
    <row r="36" spans="1:25" ht="16">
      <c r="A36" s="7"/>
      <c r="B36" s="152"/>
      <c r="C36" s="36"/>
      <c r="D36" s="152"/>
      <c r="E36" s="35"/>
      <c r="F36" s="152"/>
      <c r="G36" s="36"/>
      <c r="H36" s="152"/>
      <c r="I36" s="35"/>
      <c r="J36" s="152"/>
      <c r="K36" s="3"/>
      <c r="L36" s="152"/>
      <c r="M36" s="3"/>
      <c r="N36" s="152"/>
      <c r="O36" s="3"/>
      <c r="P36" s="152"/>
      <c r="Q36" s="3"/>
      <c r="R36" s="152"/>
      <c r="S36" s="3"/>
      <c r="T36" s="152"/>
      <c r="U36" s="3"/>
      <c r="V36" s="152"/>
      <c r="W36" s="3"/>
      <c r="X36" s="152"/>
      <c r="Y36" s="8"/>
    </row>
    <row r="37" spans="1:25" ht="16">
      <c r="A37" s="7"/>
      <c r="B37" s="152"/>
      <c r="C37" s="36"/>
      <c r="D37" s="152"/>
      <c r="E37" s="35"/>
      <c r="F37" s="152"/>
      <c r="G37" s="36"/>
      <c r="H37" s="152"/>
      <c r="I37" s="35"/>
      <c r="J37" s="152"/>
      <c r="K37" s="3"/>
      <c r="L37" s="152"/>
      <c r="M37" s="3"/>
      <c r="N37" s="152"/>
      <c r="O37" s="3"/>
      <c r="P37" s="152"/>
      <c r="Q37" s="3"/>
      <c r="R37" s="152"/>
      <c r="S37" s="3"/>
      <c r="T37" s="152"/>
      <c r="U37" s="3"/>
      <c r="V37" s="152"/>
      <c r="W37" s="3"/>
      <c r="X37" s="152"/>
      <c r="Y37" s="8"/>
    </row>
    <row r="38" spans="1:25" ht="14" thickBot="1">
      <c r="A38" s="7"/>
      <c r="B38" s="154"/>
      <c r="C38" s="35"/>
      <c r="D38" s="154"/>
      <c r="E38" s="35"/>
      <c r="F38" s="153"/>
      <c r="G38" s="35"/>
      <c r="H38" s="153"/>
      <c r="I38" s="35"/>
      <c r="J38" s="153"/>
      <c r="K38" s="3"/>
      <c r="L38" s="153"/>
      <c r="M38" s="3"/>
      <c r="N38" s="153"/>
      <c r="O38" s="3"/>
      <c r="P38" s="153"/>
      <c r="Q38" s="3"/>
      <c r="R38" s="153"/>
      <c r="S38" s="3"/>
      <c r="T38" s="153"/>
      <c r="U38" s="3"/>
      <c r="V38" s="153"/>
      <c r="W38" s="3"/>
      <c r="X38" s="153"/>
      <c r="Y38" s="8"/>
    </row>
    <row r="39" spans="1:25">
      <c r="A39" s="7"/>
      <c r="B39" s="35"/>
      <c r="C39" s="35"/>
      <c r="D39" s="35"/>
      <c r="E39" s="35"/>
      <c r="F39" s="35"/>
      <c r="G39" s="35"/>
      <c r="H39" s="35"/>
      <c r="I39" s="35"/>
      <c r="J39" s="35"/>
      <c r="K39" s="3"/>
      <c r="L39" s="35"/>
      <c r="M39" s="3"/>
      <c r="N39" s="35"/>
      <c r="O39" s="3"/>
      <c r="P39" s="35"/>
      <c r="Q39" s="3"/>
      <c r="R39" s="35"/>
      <c r="S39" s="3"/>
      <c r="T39" s="35"/>
      <c r="U39" s="3"/>
      <c r="V39" s="35"/>
      <c r="W39" s="3"/>
      <c r="X39" s="35"/>
      <c r="Y39" s="8"/>
    </row>
    <row r="40" spans="1:25" ht="14" thickBot="1">
      <c r="A40" s="7"/>
      <c r="B40" s="35"/>
      <c r="C40" s="35"/>
      <c r="D40" s="35"/>
      <c r="E40" s="35"/>
      <c r="F40" s="35"/>
      <c r="G40" s="35"/>
      <c r="H40" s="35"/>
      <c r="I40" s="35"/>
      <c r="J40" s="35"/>
      <c r="K40" s="3"/>
      <c r="L40" s="35"/>
      <c r="M40" s="3"/>
      <c r="N40" s="35"/>
      <c r="O40" s="3"/>
      <c r="P40" s="35"/>
      <c r="Q40" s="3"/>
      <c r="R40" s="35"/>
      <c r="S40" s="3"/>
      <c r="T40" s="35"/>
      <c r="U40" s="3"/>
      <c r="V40" s="35"/>
      <c r="W40" s="3"/>
      <c r="X40" s="35"/>
      <c r="Y40" s="8"/>
    </row>
    <row r="41" spans="1:25">
      <c r="A41" s="7"/>
      <c r="B41" s="72" t="s">
        <v>175</v>
      </c>
      <c r="C41" s="35"/>
      <c r="D41" s="72" t="s">
        <v>187</v>
      </c>
      <c r="E41" s="35"/>
      <c r="F41" s="71"/>
      <c r="G41" s="35"/>
      <c r="H41" s="72" t="s">
        <v>260</v>
      </c>
      <c r="I41" s="35"/>
      <c r="J41" s="72" t="s">
        <v>241</v>
      </c>
      <c r="K41" s="3"/>
      <c r="L41" s="31"/>
      <c r="M41" s="3"/>
      <c r="N41" s="72" t="s">
        <v>289</v>
      </c>
      <c r="O41" s="3"/>
      <c r="P41" s="72" t="s">
        <v>312</v>
      </c>
      <c r="Q41" s="3"/>
      <c r="R41" s="72"/>
      <c r="S41" s="3"/>
      <c r="T41" s="72"/>
      <c r="U41" s="3"/>
      <c r="V41" s="72"/>
      <c r="W41" s="3"/>
      <c r="X41" s="72"/>
      <c r="Y41" s="8"/>
    </row>
    <row r="42" spans="1:25">
      <c r="A42" s="7"/>
      <c r="B42" s="152" t="s">
        <v>176</v>
      </c>
      <c r="C42" s="35"/>
      <c r="D42" s="152" t="s">
        <v>188</v>
      </c>
      <c r="E42" s="35"/>
      <c r="F42" s="152"/>
      <c r="G42" s="35"/>
      <c r="H42" s="152" t="s">
        <v>300</v>
      </c>
      <c r="I42" s="35"/>
      <c r="J42" s="152" t="s">
        <v>242</v>
      </c>
      <c r="K42" s="3"/>
      <c r="L42" s="32"/>
      <c r="M42" s="3"/>
      <c r="N42" s="152" t="s">
        <v>290</v>
      </c>
      <c r="O42" s="3"/>
      <c r="P42" s="152" t="s">
        <v>310</v>
      </c>
      <c r="Q42" s="3"/>
      <c r="R42" s="152"/>
      <c r="S42" s="3"/>
      <c r="T42" s="152"/>
      <c r="U42" s="3"/>
      <c r="V42" s="152"/>
      <c r="W42" s="3"/>
      <c r="X42" s="152"/>
      <c r="Y42" s="8"/>
    </row>
    <row r="43" spans="1:25" ht="16">
      <c r="A43" s="7"/>
      <c r="B43" s="152"/>
      <c r="C43" s="36"/>
      <c r="D43" s="152"/>
      <c r="E43" s="35"/>
      <c r="F43" s="152"/>
      <c r="G43" s="36"/>
      <c r="H43" s="152"/>
      <c r="I43" s="35"/>
      <c r="J43" s="152"/>
      <c r="K43" s="3"/>
      <c r="L43" s="33"/>
      <c r="M43" s="3"/>
      <c r="N43" s="152"/>
      <c r="O43" s="3"/>
      <c r="P43" s="152"/>
      <c r="Q43" s="3"/>
      <c r="R43" s="152"/>
      <c r="S43" s="3"/>
      <c r="T43" s="152"/>
      <c r="U43" s="3"/>
      <c r="V43" s="152"/>
      <c r="W43" s="3"/>
      <c r="X43" s="152"/>
      <c r="Y43" s="8"/>
    </row>
    <row r="44" spans="1:25" ht="16">
      <c r="A44" s="7"/>
      <c r="B44" s="152"/>
      <c r="C44" s="36"/>
      <c r="D44" s="152"/>
      <c r="E44" s="35"/>
      <c r="F44" s="152"/>
      <c r="G44" s="36"/>
      <c r="H44" s="152"/>
      <c r="I44" s="35"/>
      <c r="J44" s="152"/>
      <c r="K44" s="3"/>
      <c r="L44" s="33"/>
      <c r="M44" s="3"/>
      <c r="N44" s="152"/>
      <c r="O44" s="3"/>
      <c r="P44" s="152"/>
      <c r="Q44" s="3"/>
      <c r="R44" s="152"/>
      <c r="S44" s="3"/>
      <c r="T44" s="152"/>
      <c r="U44" s="3"/>
      <c r="V44" s="152"/>
      <c r="W44" s="3"/>
      <c r="X44" s="152"/>
      <c r="Y44" s="8"/>
    </row>
    <row r="45" spans="1:25" ht="14" thickBot="1">
      <c r="A45" s="7"/>
      <c r="B45" s="154"/>
      <c r="C45" s="35"/>
      <c r="D45" s="153"/>
      <c r="E45" s="35"/>
      <c r="F45" s="153"/>
      <c r="G45" s="35"/>
      <c r="H45" s="153"/>
      <c r="I45" s="35"/>
      <c r="J45" s="153"/>
      <c r="K45" s="3"/>
      <c r="L45" s="34"/>
      <c r="M45" s="3"/>
      <c r="N45" s="153"/>
      <c r="O45" s="3"/>
      <c r="P45" s="153"/>
      <c r="Q45" s="3"/>
      <c r="R45" s="153"/>
      <c r="S45" s="3"/>
      <c r="T45" s="153"/>
      <c r="U45" s="3"/>
      <c r="V45" s="153"/>
      <c r="W45" s="3"/>
      <c r="X45" s="153"/>
      <c r="Y45" s="8"/>
    </row>
    <row r="46" spans="1:25">
      <c r="A46" s="7"/>
      <c r="B46" s="35"/>
      <c r="C46" s="35"/>
      <c r="D46" s="35"/>
      <c r="E46" s="35"/>
      <c r="F46" s="35"/>
      <c r="G46" s="35"/>
      <c r="H46" s="35"/>
      <c r="I46" s="35"/>
      <c r="J46" s="35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8"/>
    </row>
    <row r="47" spans="1:25" ht="14" thickBot="1">
      <c r="A47" s="7"/>
      <c r="B47" s="35"/>
      <c r="C47" s="35"/>
      <c r="D47" s="35"/>
      <c r="E47" s="35"/>
      <c r="F47" s="35"/>
      <c r="G47" s="35"/>
      <c r="H47" s="35"/>
      <c r="I47" s="35"/>
      <c r="J47" s="35"/>
      <c r="K47" s="3"/>
      <c r="L47" s="35"/>
      <c r="M47" s="3"/>
      <c r="N47" s="35"/>
      <c r="O47" s="3"/>
      <c r="P47" s="35"/>
      <c r="Q47" s="3"/>
      <c r="R47" s="35"/>
      <c r="S47" s="3"/>
      <c r="T47" s="35"/>
      <c r="U47" s="3"/>
      <c r="V47" s="35"/>
      <c r="W47" s="3"/>
      <c r="X47" s="35"/>
      <c r="Y47" s="8"/>
    </row>
    <row r="48" spans="1:25">
      <c r="A48" s="7"/>
      <c r="B48" s="72" t="s">
        <v>177</v>
      </c>
      <c r="C48" s="35"/>
      <c r="D48" s="72" t="s">
        <v>190</v>
      </c>
      <c r="E48" s="35"/>
      <c r="F48" s="73"/>
      <c r="G48" s="35"/>
      <c r="H48" s="72" t="s">
        <v>261</v>
      </c>
      <c r="I48" s="35"/>
      <c r="J48" s="31"/>
      <c r="K48" s="3"/>
      <c r="L48" s="31"/>
      <c r="M48" s="3"/>
      <c r="N48" s="72" t="s">
        <v>213</v>
      </c>
      <c r="O48" s="3"/>
      <c r="P48" s="72" t="s">
        <v>313</v>
      </c>
      <c r="Q48" s="3"/>
      <c r="R48" s="72"/>
      <c r="S48" s="3"/>
      <c r="T48" s="72"/>
      <c r="U48" s="3"/>
      <c r="V48" s="72"/>
      <c r="W48" s="3"/>
      <c r="X48" s="72"/>
      <c r="Y48" s="8"/>
    </row>
    <row r="49" spans="1:25">
      <c r="A49" s="7"/>
      <c r="B49" s="152" t="s">
        <v>178</v>
      </c>
      <c r="C49" s="35"/>
      <c r="D49" s="152" t="s">
        <v>189</v>
      </c>
      <c r="E49" s="35"/>
      <c r="F49" s="152"/>
      <c r="G49" s="35"/>
      <c r="H49" s="152"/>
      <c r="I49" s="35"/>
      <c r="J49" s="32"/>
      <c r="K49" s="3"/>
      <c r="L49" s="32"/>
      <c r="M49" s="3"/>
      <c r="N49" s="152" t="s">
        <v>291</v>
      </c>
      <c r="O49" s="3"/>
      <c r="P49" s="152" t="s">
        <v>311</v>
      </c>
      <c r="Q49" s="3"/>
      <c r="R49" s="152"/>
      <c r="S49" s="3"/>
      <c r="T49" s="152"/>
      <c r="U49" s="3"/>
      <c r="V49" s="152"/>
      <c r="W49" s="3"/>
      <c r="X49" s="152"/>
      <c r="Y49" s="8"/>
    </row>
    <row r="50" spans="1:25" ht="16">
      <c r="A50" s="7"/>
      <c r="B50" s="152"/>
      <c r="C50" s="36"/>
      <c r="D50" s="152"/>
      <c r="E50" s="35"/>
      <c r="F50" s="152"/>
      <c r="G50" s="36"/>
      <c r="H50" s="152"/>
      <c r="I50" s="35"/>
      <c r="J50" s="33"/>
      <c r="K50" s="3"/>
      <c r="L50" s="33"/>
      <c r="M50" s="3"/>
      <c r="N50" s="152"/>
      <c r="O50" s="3"/>
      <c r="P50" s="152"/>
      <c r="Q50" s="3"/>
      <c r="R50" s="152"/>
      <c r="S50" s="3"/>
      <c r="T50" s="152"/>
      <c r="U50" s="3"/>
      <c r="V50" s="152"/>
      <c r="W50" s="3"/>
      <c r="X50" s="152"/>
      <c r="Y50" s="8"/>
    </row>
    <row r="51" spans="1:25" ht="16">
      <c r="A51" s="7"/>
      <c r="B51" s="152"/>
      <c r="C51" s="36"/>
      <c r="D51" s="152"/>
      <c r="E51" s="35"/>
      <c r="F51" s="152"/>
      <c r="G51" s="36"/>
      <c r="H51" s="152"/>
      <c r="I51" s="35"/>
      <c r="J51" s="33"/>
      <c r="K51" s="3"/>
      <c r="L51" s="33"/>
      <c r="M51" s="3"/>
      <c r="N51" s="152"/>
      <c r="O51" s="3"/>
      <c r="P51" s="152"/>
      <c r="Q51" s="3"/>
      <c r="R51" s="152"/>
      <c r="S51" s="3"/>
      <c r="T51" s="152"/>
      <c r="U51" s="3"/>
      <c r="V51" s="152"/>
      <c r="W51" s="3"/>
      <c r="X51" s="152"/>
      <c r="Y51" s="8"/>
    </row>
    <row r="52" spans="1:25" ht="14" thickBot="1">
      <c r="A52" s="7"/>
      <c r="B52" s="153"/>
      <c r="C52" s="35"/>
      <c r="D52" s="153"/>
      <c r="E52" s="35"/>
      <c r="F52" s="153"/>
      <c r="G52" s="35"/>
      <c r="H52" s="153"/>
      <c r="I52" s="35"/>
      <c r="J52" s="34"/>
      <c r="K52" s="3"/>
      <c r="L52" s="34"/>
      <c r="M52" s="3"/>
      <c r="N52" s="153"/>
      <c r="O52" s="3"/>
      <c r="P52" s="153"/>
      <c r="Q52" s="3"/>
      <c r="R52" s="153"/>
      <c r="S52" s="3"/>
      <c r="T52" s="153"/>
      <c r="U52" s="3"/>
      <c r="V52" s="153"/>
      <c r="W52" s="3"/>
      <c r="X52" s="153"/>
      <c r="Y52" s="8"/>
    </row>
    <row r="53" spans="1:25">
      <c r="A53" s="7"/>
      <c r="B53" s="35"/>
      <c r="C53" s="35"/>
      <c r="D53" s="35"/>
      <c r="E53" s="35"/>
      <c r="F53" s="35"/>
      <c r="G53" s="35"/>
      <c r="H53" s="35"/>
      <c r="I53" s="35"/>
      <c r="J53" s="35"/>
      <c r="K53" s="3"/>
      <c r="L53" s="35"/>
      <c r="M53" s="3"/>
      <c r="N53" s="35"/>
      <c r="O53" s="3"/>
      <c r="P53" s="35"/>
      <c r="Q53" s="3"/>
      <c r="R53" s="35"/>
      <c r="S53" s="3"/>
      <c r="T53" s="35"/>
      <c r="U53" s="3"/>
      <c r="V53" s="35"/>
      <c r="W53" s="3"/>
      <c r="X53" s="35"/>
      <c r="Y53" s="8"/>
    </row>
    <row r="54" spans="1:25" ht="14" thickBot="1">
      <c r="A54" s="7"/>
      <c r="B54" s="35"/>
      <c r="C54" s="35"/>
      <c r="D54" s="35"/>
      <c r="E54" s="35"/>
      <c r="F54" s="35"/>
      <c r="G54" s="35"/>
      <c r="H54" s="35"/>
      <c r="I54" s="35"/>
      <c r="J54" s="35"/>
      <c r="K54" s="3"/>
      <c r="L54" s="35"/>
      <c r="M54" s="3"/>
      <c r="N54" s="35"/>
      <c r="O54" s="3"/>
      <c r="P54" s="35"/>
      <c r="Q54" s="3"/>
      <c r="R54" s="35"/>
      <c r="S54" s="3"/>
      <c r="T54" s="35"/>
      <c r="U54" s="3"/>
      <c r="V54" s="35"/>
      <c r="W54" s="3"/>
      <c r="X54" s="35"/>
      <c r="Y54" s="8"/>
    </row>
    <row r="55" spans="1:25">
      <c r="A55" s="7"/>
      <c r="B55" s="72" t="s">
        <v>182</v>
      </c>
      <c r="C55" s="35"/>
      <c r="D55" s="73"/>
      <c r="E55" s="35"/>
      <c r="F55" s="71"/>
      <c r="G55" s="35"/>
      <c r="H55" s="72" t="s">
        <v>262</v>
      </c>
      <c r="I55" s="35"/>
      <c r="J55" s="31"/>
      <c r="K55" s="3"/>
      <c r="L55" s="31"/>
      <c r="M55" s="3"/>
      <c r="N55" s="31"/>
      <c r="O55" s="3"/>
      <c r="P55" s="72" t="s">
        <v>280</v>
      </c>
      <c r="Q55" s="3"/>
      <c r="R55" s="31"/>
      <c r="S55" s="3"/>
      <c r="T55" s="31"/>
      <c r="U55" s="3"/>
      <c r="V55" s="31"/>
      <c r="W55" s="3"/>
      <c r="X55" s="31"/>
      <c r="Y55" s="8"/>
    </row>
    <row r="56" spans="1:25">
      <c r="A56" s="7"/>
      <c r="B56" s="152" t="s">
        <v>183</v>
      </c>
      <c r="C56" s="35"/>
      <c r="D56" s="152"/>
      <c r="E56" s="35"/>
      <c r="F56" s="152"/>
      <c r="G56" s="35"/>
      <c r="H56" s="152"/>
      <c r="I56" s="35"/>
      <c r="J56" s="32"/>
      <c r="K56" s="3"/>
      <c r="L56" s="32"/>
      <c r="M56" s="3"/>
      <c r="N56" s="32"/>
      <c r="O56" s="3"/>
      <c r="P56" s="152" t="s">
        <v>281</v>
      </c>
      <c r="Q56" s="3"/>
      <c r="R56" s="32"/>
      <c r="S56" s="3"/>
      <c r="T56" s="32"/>
      <c r="U56" s="3"/>
      <c r="V56" s="32"/>
      <c r="W56" s="3"/>
      <c r="X56" s="32"/>
      <c r="Y56" s="8"/>
    </row>
    <row r="57" spans="1:25" ht="16">
      <c r="A57" s="7"/>
      <c r="B57" s="152"/>
      <c r="C57" s="36"/>
      <c r="D57" s="152"/>
      <c r="E57" s="35"/>
      <c r="F57" s="152"/>
      <c r="G57" s="36"/>
      <c r="H57" s="152"/>
      <c r="I57" s="35"/>
      <c r="J57" s="33"/>
      <c r="K57" s="3"/>
      <c r="L57" s="33"/>
      <c r="M57" s="3"/>
      <c r="N57" s="33"/>
      <c r="O57" s="3"/>
      <c r="P57" s="152"/>
      <c r="Q57" s="3"/>
      <c r="R57" s="33"/>
      <c r="S57" s="3"/>
      <c r="T57" s="33"/>
      <c r="U57" s="3"/>
      <c r="V57" s="33"/>
      <c r="W57" s="3"/>
      <c r="X57" s="33"/>
      <c r="Y57" s="8"/>
    </row>
    <row r="58" spans="1:25" ht="16">
      <c r="A58" s="7"/>
      <c r="B58" s="152"/>
      <c r="C58" s="36"/>
      <c r="D58" s="152"/>
      <c r="E58" s="35"/>
      <c r="F58" s="152"/>
      <c r="G58" s="36"/>
      <c r="H58" s="152"/>
      <c r="I58" s="35"/>
      <c r="J58" s="33"/>
      <c r="K58" s="3"/>
      <c r="L58" s="33"/>
      <c r="M58" s="3"/>
      <c r="N58" s="33"/>
      <c r="O58" s="3"/>
      <c r="P58" s="152"/>
      <c r="Q58" s="3"/>
      <c r="R58" s="33"/>
      <c r="S58" s="3"/>
      <c r="T58" s="33"/>
      <c r="U58" s="3"/>
      <c r="V58" s="33"/>
      <c r="W58" s="3"/>
      <c r="X58" s="33"/>
      <c r="Y58" s="8"/>
    </row>
    <row r="59" spans="1:25" ht="14" thickBot="1">
      <c r="A59" s="7"/>
      <c r="B59" s="153"/>
      <c r="C59" s="35"/>
      <c r="D59" s="153"/>
      <c r="E59" s="35"/>
      <c r="F59" s="153"/>
      <c r="G59" s="35"/>
      <c r="H59" s="153"/>
      <c r="I59" s="35"/>
      <c r="J59" s="34"/>
      <c r="K59" s="3"/>
      <c r="L59" s="34"/>
      <c r="M59" s="3"/>
      <c r="N59" s="34"/>
      <c r="O59" s="3"/>
      <c r="P59" s="153"/>
      <c r="Q59" s="3"/>
      <c r="R59" s="34"/>
      <c r="S59" s="3"/>
      <c r="T59" s="34"/>
      <c r="U59" s="3"/>
      <c r="V59" s="34"/>
      <c r="W59" s="3"/>
      <c r="X59" s="34"/>
      <c r="Y59" s="8"/>
    </row>
    <row r="60" spans="1:25">
      <c r="A60" s="7"/>
      <c r="B60" s="35"/>
      <c r="C60" s="35"/>
      <c r="D60" s="35"/>
      <c r="E60" s="35"/>
      <c r="F60" s="35"/>
      <c r="G60" s="35"/>
      <c r="H60" s="35"/>
      <c r="I60" s="35"/>
      <c r="J60" s="35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8"/>
    </row>
    <row r="61" spans="1:25" ht="14" thickBot="1">
      <c r="A61" s="7"/>
      <c r="B61" s="35"/>
      <c r="C61" s="35"/>
      <c r="D61" s="35"/>
      <c r="E61" s="35"/>
      <c r="F61" s="35"/>
      <c r="G61" s="35"/>
      <c r="H61" s="35"/>
      <c r="I61" s="35"/>
      <c r="J61" s="35"/>
      <c r="K61" s="3"/>
      <c r="L61" s="35"/>
      <c r="M61" s="3"/>
      <c r="N61" s="35"/>
      <c r="O61" s="3"/>
      <c r="P61" s="35"/>
      <c r="Q61" s="3"/>
      <c r="R61" s="35"/>
      <c r="S61" s="3"/>
      <c r="T61" s="35"/>
      <c r="U61" s="3"/>
      <c r="V61" s="35"/>
      <c r="W61" s="3"/>
      <c r="X61" s="35"/>
      <c r="Y61" s="8"/>
    </row>
    <row r="62" spans="1:25">
      <c r="A62" s="7"/>
      <c r="B62" s="72" t="s">
        <v>197</v>
      </c>
      <c r="C62" s="35"/>
      <c r="D62" s="72"/>
      <c r="E62" s="35"/>
      <c r="F62" s="73"/>
      <c r="G62" s="35"/>
      <c r="H62" s="72" t="s">
        <v>263</v>
      </c>
      <c r="I62" s="35"/>
      <c r="J62" s="31"/>
      <c r="K62" s="3"/>
      <c r="L62" s="31"/>
      <c r="M62" s="3"/>
      <c r="N62" s="31"/>
      <c r="O62" s="3"/>
      <c r="P62" s="31"/>
      <c r="Q62" s="3"/>
      <c r="R62" s="31"/>
      <c r="S62" s="3"/>
      <c r="T62" s="31"/>
      <c r="U62" s="3"/>
      <c r="V62" s="31"/>
      <c r="W62" s="3"/>
      <c r="X62" s="31"/>
      <c r="Y62" s="8"/>
    </row>
    <row r="63" spans="1:25">
      <c r="A63" s="7"/>
      <c r="B63" s="152" t="s">
        <v>255</v>
      </c>
      <c r="C63" s="35"/>
      <c r="D63" s="152"/>
      <c r="E63" s="35"/>
      <c r="F63" s="152"/>
      <c r="G63" s="35"/>
      <c r="H63" s="152"/>
      <c r="I63" s="35"/>
      <c r="J63" s="32"/>
      <c r="K63" s="3"/>
      <c r="L63" s="32"/>
      <c r="M63" s="3"/>
      <c r="N63" s="32"/>
      <c r="O63" s="3"/>
      <c r="P63" s="32"/>
      <c r="Q63" s="3"/>
      <c r="R63" s="32"/>
      <c r="S63" s="3"/>
      <c r="T63" s="32"/>
      <c r="U63" s="3"/>
      <c r="V63" s="32"/>
      <c r="W63" s="3"/>
      <c r="X63" s="32"/>
      <c r="Y63" s="8"/>
    </row>
    <row r="64" spans="1:25" ht="16">
      <c r="A64" s="7"/>
      <c r="B64" s="152"/>
      <c r="C64" s="36"/>
      <c r="D64" s="152"/>
      <c r="E64" s="35"/>
      <c r="F64" s="152"/>
      <c r="G64" s="36"/>
      <c r="H64" s="152"/>
      <c r="I64" s="35"/>
      <c r="J64" s="33"/>
      <c r="K64" s="3"/>
      <c r="L64" s="33"/>
      <c r="M64" s="3"/>
      <c r="N64" s="33"/>
      <c r="O64" s="3"/>
      <c r="P64" s="33"/>
      <c r="Q64" s="3"/>
      <c r="R64" s="33"/>
      <c r="S64" s="3"/>
      <c r="T64" s="33"/>
      <c r="U64" s="3"/>
      <c r="V64" s="33"/>
      <c r="W64" s="3"/>
      <c r="X64" s="33"/>
      <c r="Y64" s="8"/>
    </row>
    <row r="65" spans="1:25" ht="16">
      <c r="A65" s="7"/>
      <c r="B65" s="152"/>
      <c r="C65" s="36"/>
      <c r="D65" s="152"/>
      <c r="E65" s="35"/>
      <c r="F65" s="152"/>
      <c r="G65" s="36"/>
      <c r="H65" s="152"/>
      <c r="I65" s="35"/>
      <c r="J65" s="33"/>
      <c r="K65" s="3"/>
      <c r="L65" s="33"/>
      <c r="M65" s="3"/>
      <c r="N65" s="33"/>
      <c r="O65" s="3"/>
      <c r="P65" s="33"/>
      <c r="Q65" s="3"/>
      <c r="R65" s="33"/>
      <c r="S65" s="3"/>
      <c r="T65" s="33"/>
      <c r="U65" s="3"/>
      <c r="V65" s="33"/>
      <c r="W65" s="3"/>
      <c r="X65" s="33"/>
      <c r="Y65" s="8"/>
    </row>
    <row r="66" spans="1:25" ht="14" thickBot="1">
      <c r="A66" s="7"/>
      <c r="B66" s="153"/>
      <c r="C66" s="35"/>
      <c r="D66" s="153"/>
      <c r="E66" s="35"/>
      <c r="F66" s="153"/>
      <c r="G66" s="35"/>
      <c r="H66" s="153"/>
      <c r="I66" s="35"/>
      <c r="J66" s="34"/>
      <c r="K66" s="3"/>
      <c r="L66" s="34"/>
      <c r="M66" s="3"/>
      <c r="N66" s="34"/>
      <c r="O66" s="3"/>
      <c r="P66" s="34"/>
      <c r="Q66" s="3"/>
      <c r="R66" s="34"/>
      <c r="S66" s="3"/>
      <c r="T66" s="34"/>
      <c r="U66" s="3"/>
      <c r="V66" s="34"/>
      <c r="W66" s="3"/>
      <c r="X66" s="34"/>
      <c r="Y66" s="8"/>
    </row>
    <row r="67" spans="1:25">
      <c r="A67" s="7"/>
      <c r="B67" s="35"/>
      <c r="C67" s="35"/>
      <c r="D67" s="35"/>
      <c r="E67" s="35"/>
      <c r="F67" s="35"/>
      <c r="G67" s="35"/>
      <c r="H67" s="35"/>
      <c r="I67" s="35"/>
      <c r="J67" s="35"/>
      <c r="K67" s="3"/>
      <c r="L67" s="35"/>
      <c r="M67" s="3"/>
      <c r="N67" s="35"/>
      <c r="O67" s="3"/>
      <c r="P67" s="35"/>
      <c r="Q67" s="3"/>
      <c r="R67" s="35"/>
      <c r="S67" s="3"/>
      <c r="T67" s="35"/>
      <c r="U67" s="3"/>
      <c r="V67" s="35"/>
      <c r="W67" s="3"/>
      <c r="X67" s="35"/>
      <c r="Y67" s="8"/>
    </row>
    <row r="68" spans="1:25" ht="14" thickBot="1">
      <c r="A68" s="7"/>
      <c r="B68" s="35"/>
      <c r="C68" s="35"/>
      <c r="D68" s="35"/>
      <c r="E68" s="35"/>
      <c r="F68" s="35"/>
      <c r="G68" s="35"/>
      <c r="H68" s="35"/>
      <c r="I68" s="35"/>
      <c r="J68" s="35"/>
      <c r="K68" s="3"/>
      <c r="L68" s="35"/>
      <c r="M68" s="3"/>
      <c r="N68" s="35"/>
      <c r="O68" s="3"/>
      <c r="P68" s="35"/>
      <c r="Q68" s="3"/>
      <c r="R68" s="35"/>
      <c r="S68" s="3"/>
      <c r="T68" s="35"/>
      <c r="U68" s="3"/>
      <c r="V68" s="35"/>
      <c r="W68" s="3"/>
      <c r="X68" s="35"/>
      <c r="Y68" s="8"/>
    </row>
    <row r="69" spans="1:25">
      <c r="A69" s="7"/>
      <c r="B69" s="72" t="s">
        <v>256</v>
      </c>
      <c r="C69" s="35"/>
      <c r="D69" s="73"/>
      <c r="E69" s="35"/>
      <c r="F69" s="71"/>
      <c r="G69" s="35"/>
      <c r="H69" s="72" t="s">
        <v>264</v>
      </c>
      <c r="I69" s="35"/>
      <c r="J69" s="31"/>
      <c r="K69" s="3"/>
      <c r="L69" s="31"/>
      <c r="M69" s="3"/>
      <c r="N69" s="31"/>
      <c r="O69" s="3"/>
      <c r="P69" s="31"/>
      <c r="Q69" s="3"/>
      <c r="R69" s="31"/>
      <c r="S69" s="3"/>
      <c r="T69" s="31"/>
      <c r="U69" s="3"/>
      <c r="V69" s="31"/>
      <c r="W69" s="3"/>
      <c r="X69" s="31"/>
      <c r="Y69" s="8"/>
    </row>
    <row r="70" spans="1:25">
      <c r="A70" s="7"/>
      <c r="B70" s="152"/>
      <c r="C70" s="35"/>
      <c r="D70" s="152"/>
      <c r="E70" s="35"/>
      <c r="F70" s="152"/>
      <c r="G70" s="35"/>
      <c r="H70" s="152"/>
      <c r="I70" s="35"/>
      <c r="J70" s="32"/>
      <c r="K70" s="3"/>
      <c r="L70" s="32"/>
      <c r="M70" s="3"/>
      <c r="N70" s="32"/>
      <c r="O70" s="3"/>
      <c r="P70" s="32"/>
      <c r="Q70" s="3"/>
      <c r="R70" s="32"/>
      <c r="S70" s="3"/>
      <c r="T70" s="32"/>
      <c r="U70" s="3"/>
      <c r="V70" s="32"/>
      <c r="W70" s="3"/>
      <c r="X70" s="32"/>
      <c r="Y70" s="8"/>
    </row>
    <row r="71" spans="1:25" ht="16">
      <c r="A71" s="7"/>
      <c r="B71" s="152"/>
      <c r="C71" s="36"/>
      <c r="D71" s="152"/>
      <c r="E71" s="35"/>
      <c r="F71" s="152"/>
      <c r="G71" s="36"/>
      <c r="H71" s="152"/>
      <c r="I71" s="35"/>
      <c r="J71" s="33"/>
      <c r="K71" s="3"/>
      <c r="L71" s="33"/>
      <c r="M71" s="3"/>
      <c r="N71" s="33"/>
      <c r="O71" s="3"/>
      <c r="P71" s="33"/>
      <c r="Q71" s="3"/>
      <c r="R71" s="33"/>
      <c r="S71" s="3"/>
      <c r="T71" s="33"/>
      <c r="U71" s="3"/>
      <c r="V71" s="33"/>
      <c r="W71" s="3"/>
      <c r="X71" s="33"/>
      <c r="Y71" s="8"/>
    </row>
    <row r="72" spans="1:25" ht="16">
      <c r="A72" s="7"/>
      <c r="B72" s="152"/>
      <c r="C72" s="36"/>
      <c r="D72" s="152"/>
      <c r="E72" s="35"/>
      <c r="F72" s="152"/>
      <c r="G72" s="36"/>
      <c r="H72" s="152"/>
      <c r="I72" s="35"/>
      <c r="J72" s="33"/>
      <c r="K72" s="3"/>
      <c r="L72" s="33"/>
      <c r="M72" s="3"/>
      <c r="N72" s="33"/>
      <c r="O72" s="3"/>
      <c r="P72" s="33"/>
      <c r="Q72" s="3"/>
      <c r="R72" s="33"/>
      <c r="S72" s="3"/>
      <c r="T72" s="33"/>
      <c r="U72" s="3"/>
      <c r="V72" s="33"/>
      <c r="W72" s="3"/>
      <c r="X72" s="33"/>
      <c r="Y72" s="8"/>
    </row>
    <row r="73" spans="1:25" ht="14" thickBot="1">
      <c r="A73" s="7"/>
      <c r="B73" s="153"/>
      <c r="C73" s="35"/>
      <c r="D73" s="153"/>
      <c r="E73" s="35"/>
      <c r="F73" s="153"/>
      <c r="G73" s="35"/>
      <c r="H73" s="153"/>
      <c r="I73" s="35"/>
      <c r="J73" s="34"/>
      <c r="K73" s="3"/>
      <c r="L73" s="34"/>
      <c r="M73" s="3"/>
      <c r="N73" s="34"/>
      <c r="O73" s="3"/>
      <c r="P73" s="34"/>
      <c r="Q73" s="3"/>
      <c r="R73" s="34"/>
      <c r="S73" s="3"/>
      <c r="T73" s="34"/>
      <c r="U73" s="3"/>
      <c r="V73" s="34"/>
      <c r="W73" s="3"/>
      <c r="X73" s="34"/>
      <c r="Y73" s="8"/>
    </row>
    <row r="74" spans="1:25" ht="11" customHeight="1">
      <c r="A74" s="7"/>
      <c r="B74" s="35"/>
      <c r="C74" s="35"/>
      <c r="D74" s="35"/>
      <c r="E74" s="35"/>
      <c r="F74" s="35"/>
      <c r="G74" s="35"/>
      <c r="H74" s="35"/>
      <c r="I74" s="35"/>
      <c r="J74" s="35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8"/>
    </row>
    <row r="75" spans="1:25" ht="14" thickBot="1">
      <c r="A75" s="7"/>
      <c r="B75" s="35"/>
      <c r="C75" s="35"/>
      <c r="D75" s="35"/>
      <c r="E75" s="35"/>
      <c r="F75" s="35"/>
      <c r="G75" s="35"/>
      <c r="H75" s="35"/>
      <c r="I75" s="35"/>
      <c r="J75" s="35"/>
      <c r="K75" s="3"/>
      <c r="L75" s="35"/>
      <c r="M75" s="3"/>
      <c r="N75" s="35"/>
      <c r="O75" s="3"/>
      <c r="P75" s="35"/>
      <c r="Q75" s="3"/>
      <c r="R75" s="35"/>
      <c r="S75" s="3"/>
      <c r="T75" s="35"/>
      <c r="U75" s="3"/>
      <c r="V75" s="35"/>
      <c r="W75" s="3"/>
      <c r="X75" s="35"/>
      <c r="Y75" s="8"/>
    </row>
    <row r="76" spans="1:25">
      <c r="A76" s="7"/>
      <c r="B76" s="72" t="s">
        <v>257</v>
      </c>
      <c r="C76" s="35"/>
      <c r="D76" s="73"/>
      <c r="E76" s="35"/>
      <c r="F76" s="71"/>
      <c r="G76" s="35"/>
      <c r="H76" s="72" t="s">
        <v>265</v>
      </c>
      <c r="I76" s="35"/>
      <c r="J76" s="31"/>
      <c r="K76" s="3"/>
      <c r="L76" s="31"/>
      <c r="M76" s="3"/>
      <c r="N76" s="31"/>
      <c r="O76" s="3"/>
      <c r="P76" s="31"/>
      <c r="Q76" s="3"/>
      <c r="R76" s="31"/>
      <c r="S76" s="3"/>
      <c r="T76" s="31"/>
      <c r="U76" s="3"/>
      <c r="V76" s="31"/>
      <c r="W76" s="3"/>
      <c r="X76" s="31"/>
      <c r="Y76" s="8"/>
    </row>
    <row r="77" spans="1:25">
      <c r="A77" s="7"/>
      <c r="B77" s="152"/>
      <c r="C77" s="35"/>
      <c r="D77" s="152"/>
      <c r="E77" s="35"/>
      <c r="F77" s="152"/>
      <c r="G77" s="35"/>
      <c r="H77" s="152"/>
      <c r="I77" s="35"/>
      <c r="J77" s="32"/>
      <c r="K77" s="3"/>
      <c r="L77" s="32"/>
      <c r="M77" s="3"/>
      <c r="N77" s="32"/>
      <c r="O77" s="3"/>
      <c r="P77" s="32"/>
      <c r="Q77" s="3"/>
      <c r="R77" s="32"/>
      <c r="S77" s="3"/>
      <c r="T77" s="32"/>
      <c r="U77" s="3"/>
      <c r="V77" s="32"/>
      <c r="W77" s="3"/>
      <c r="X77" s="32"/>
      <c r="Y77" s="8"/>
    </row>
    <row r="78" spans="1:25" ht="16">
      <c r="A78" s="7"/>
      <c r="B78" s="152"/>
      <c r="C78" s="36"/>
      <c r="D78" s="152"/>
      <c r="E78" s="35"/>
      <c r="F78" s="152"/>
      <c r="G78" s="36"/>
      <c r="H78" s="152"/>
      <c r="I78" s="35"/>
      <c r="J78" s="33"/>
      <c r="K78" s="3"/>
      <c r="L78" s="33"/>
      <c r="M78" s="3"/>
      <c r="N78" s="33"/>
      <c r="O78" s="3"/>
      <c r="P78" s="33"/>
      <c r="Q78" s="3"/>
      <c r="R78" s="33"/>
      <c r="S78" s="3"/>
      <c r="T78" s="33"/>
      <c r="U78" s="3"/>
      <c r="V78" s="33"/>
      <c r="W78" s="3"/>
      <c r="X78" s="33"/>
      <c r="Y78" s="8"/>
    </row>
    <row r="79" spans="1:25" ht="16">
      <c r="A79" s="7"/>
      <c r="B79" s="152"/>
      <c r="C79" s="36"/>
      <c r="D79" s="152"/>
      <c r="E79" s="35"/>
      <c r="F79" s="152"/>
      <c r="G79" s="36"/>
      <c r="H79" s="152"/>
      <c r="I79" s="35"/>
      <c r="J79" s="33"/>
      <c r="K79" s="3"/>
      <c r="L79" s="33"/>
      <c r="M79" s="3"/>
      <c r="N79" s="33"/>
      <c r="O79" s="3"/>
      <c r="P79" s="33"/>
      <c r="Q79" s="3"/>
      <c r="R79" s="33"/>
      <c r="S79" s="3"/>
      <c r="T79" s="33"/>
      <c r="U79" s="3"/>
      <c r="V79" s="33"/>
      <c r="W79" s="3"/>
      <c r="X79" s="33"/>
      <c r="Y79" s="8"/>
    </row>
    <row r="80" spans="1:25" ht="14" thickBot="1">
      <c r="A80" s="7"/>
      <c r="B80" s="153"/>
      <c r="C80" s="35"/>
      <c r="D80" s="153"/>
      <c r="E80" s="35"/>
      <c r="F80" s="153"/>
      <c r="G80" s="35"/>
      <c r="H80" s="153"/>
      <c r="I80" s="35"/>
      <c r="J80" s="34"/>
      <c r="K80" s="3"/>
      <c r="L80" s="34"/>
      <c r="M80" s="3"/>
      <c r="N80" s="34"/>
      <c r="O80" s="3"/>
      <c r="P80" s="34"/>
      <c r="Q80" s="3"/>
      <c r="R80" s="34"/>
      <c r="S80" s="3"/>
      <c r="T80" s="34"/>
      <c r="U80" s="3"/>
      <c r="V80" s="34"/>
      <c r="W80" s="3"/>
      <c r="X80" s="34"/>
      <c r="Y80" s="8"/>
    </row>
    <row r="81" spans="1:25" ht="14" thickBot="1">
      <c r="A81" s="9"/>
      <c r="B81" s="42"/>
      <c r="C81" s="42"/>
      <c r="D81" s="42"/>
      <c r="E81" s="42"/>
      <c r="F81" s="42"/>
      <c r="G81" s="42"/>
      <c r="H81" s="42"/>
      <c r="I81" s="42"/>
      <c r="J81" s="42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1"/>
    </row>
    <row r="86" spans="1:25">
      <c r="B86" s="194" t="s">
        <v>87</v>
      </c>
      <c r="C86" s="61"/>
      <c r="D86" s="61"/>
      <c r="E86" s="61"/>
      <c r="F86" s="61"/>
      <c r="G86" s="61"/>
      <c r="H86" s="61"/>
      <c r="I86" s="61"/>
      <c r="J86" s="62"/>
    </row>
    <row r="87" spans="1:25">
      <c r="B87" s="63"/>
      <c r="C87" s="35"/>
      <c r="D87" s="35"/>
      <c r="E87" s="35"/>
      <c r="F87" s="35"/>
      <c r="G87" s="35"/>
      <c r="H87" s="35"/>
      <c r="I87" s="35"/>
      <c r="J87" s="64"/>
    </row>
    <row r="88" spans="1:25">
      <c r="B88" s="63" t="s">
        <v>266</v>
      </c>
      <c r="C88" s="35"/>
      <c r="D88" s="35"/>
      <c r="E88" s="35"/>
      <c r="F88" s="35"/>
      <c r="G88" s="35"/>
      <c r="H88" s="35"/>
      <c r="I88" s="35"/>
      <c r="J88" s="64"/>
    </row>
    <row r="89" spans="1:25">
      <c r="B89" s="63" t="s">
        <v>267</v>
      </c>
      <c r="C89" s="35"/>
      <c r="D89" s="35"/>
      <c r="E89" s="35"/>
      <c r="F89" s="35"/>
      <c r="G89" s="35"/>
      <c r="H89" s="35"/>
      <c r="I89" s="35"/>
      <c r="J89" s="64"/>
    </row>
    <row r="90" spans="1:25">
      <c r="B90" s="63" t="s">
        <v>268</v>
      </c>
      <c r="C90" s="35"/>
      <c r="D90" s="35"/>
      <c r="E90" s="35"/>
      <c r="F90" s="35"/>
      <c r="G90" s="35"/>
      <c r="H90" s="35"/>
      <c r="I90" s="35"/>
      <c r="J90" s="64"/>
    </row>
    <row r="91" spans="1:25">
      <c r="B91" s="63" t="s">
        <v>269</v>
      </c>
      <c r="C91" s="35"/>
      <c r="D91" s="35"/>
      <c r="E91" s="35"/>
      <c r="F91" s="35"/>
      <c r="G91" s="35"/>
      <c r="H91" s="35"/>
      <c r="I91" s="35"/>
      <c r="J91" s="64"/>
    </row>
    <row r="92" spans="1:25">
      <c r="B92" s="63" t="s">
        <v>270</v>
      </c>
      <c r="C92" s="35"/>
      <c r="D92" s="35"/>
      <c r="E92" s="35"/>
      <c r="F92" s="35"/>
      <c r="G92" s="35"/>
      <c r="H92" s="35"/>
      <c r="I92" s="35"/>
      <c r="J92" s="64"/>
    </row>
    <row r="93" spans="1:25">
      <c r="B93" s="65" t="s">
        <v>271</v>
      </c>
      <c r="C93" s="66"/>
      <c r="D93" s="66"/>
      <c r="E93" s="66"/>
      <c r="F93" s="66"/>
      <c r="G93" s="66"/>
      <c r="H93" s="66"/>
      <c r="I93" s="66"/>
      <c r="J93" s="67"/>
    </row>
  </sheetData>
  <mergeCells count="90">
    <mergeCell ref="B5:D6"/>
    <mergeCell ref="B14:B17"/>
    <mergeCell ref="D14:D17"/>
    <mergeCell ref="F14:F17"/>
    <mergeCell ref="H14:H17"/>
    <mergeCell ref="H4:J7"/>
    <mergeCell ref="H3:J3"/>
    <mergeCell ref="L14:L17"/>
    <mergeCell ref="N14:N17"/>
    <mergeCell ref="P14:P17"/>
    <mergeCell ref="B35:B38"/>
    <mergeCell ref="D35:D38"/>
    <mergeCell ref="F35:F38"/>
    <mergeCell ref="H35:H38"/>
    <mergeCell ref="L3:L7"/>
    <mergeCell ref="P21:P24"/>
    <mergeCell ref="J14:J17"/>
    <mergeCell ref="B21:B24"/>
    <mergeCell ref="D21:D24"/>
    <mergeCell ref="F21:F24"/>
    <mergeCell ref="H21:H24"/>
    <mergeCell ref="B28:B31"/>
    <mergeCell ref="B77:B80"/>
    <mergeCell ref="D77:D80"/>
    <mergeCell ref="F77:F80"/>
    <mergeCell ref="H49:H52"/>
    <mergeCell ref="B56:B59"/>
    <mergeCell ref="D56:D59"/>
    <mergeCell ref="F56:F59"/>
    <mergeCell ref="B63:B66"/>
    <mergeCell ref="D63:D66"/>
    <mergeCell ref="F63:F66"/>
    <mergeCell ref="H63:H66"/>
    <mergeCell ref="H56:H59"/>
    <mergeCell ref="B49:B52"/>
    <mergeCell ref="D49:D52"/>
    <mergeCell ref="F49:F52"/>
    <mergeCell ref="H77:H80"/>
    <mergeCell ref="D28:D31"/>
    <mergeCell ref="F28:F31"/>
    <mergeCell ref="H70:H73"/>
    <mergeCell ref="H28:H31"/>
    <mergeCell ref="H42:H45"/>
    <mergeCell ref="B70:B73"/>
    <mergeCell ref="D70:D73"/>
    <mergeCell ref="F70:F73"/>
    <mergeCell ref="B42:B45"/>
    <mergeCell ref="D42:D45"/>
    <mergeCell ref="F42:F45"/>
    <mergeCell ref="R14:R17"/>
    <mergeCell ref="R21:R24"/>
    <mergeCell ref="R28:R31"/>
    <mergeCell ref="R35:R38"/>
    <mergeCell ref="R42:R45"/>
    <mergeCell ref="R49:R52"/>
    <mergeCell ref="P56:P59"/>
    <mergeCell ref="N21:N24"/>
    <mergeCell ref="P28:P31"/>
    <mergeCell ref="P35:P38"/>
    <mergeCell ref="P42:P45"/>
    <mergeCell ref="P49:P52"/>
    <mergeCell ref="N28:N31"/>
    <mergeCell ref="N35:N38"/>
    <mergeCell ref="N42:N45"/>
    <mergeCell ref="N49:N52"/>
    <mergeCell ref="X49:X52"/>
    <mergeCell ref="T14:T17"/>
    <mergeCell ref="T21:T24"/>
    <mergeCell ref="T28:T31"/>
    <mergeCell ref="T35:T38"/>
    <mergeCell ref="T42:T45"/>
    <mergeCell ref="T49:T52"/>
    <mergeCell ref="V14:V17"/>
    <mergeCell ref="V21:V24"/>
    <mergeCell ref="V28:V31"/>
    <mergeCell ref="V35:V38"/>
    <mergeCell ref="V42:V45"/>
    <mergeCell ref="V49:V52"/>
    <mergeCell ref="X14:X17"/>
    <mergeCell ref="X21:X24"/>
    <mergeCell ref="X28:X31"/>
    <mergeCell ref="X35:X38"/>
    <mergeCell ref="X42:X45"/>
    <mergeCell ref="J42:J45"/>
    <mergeCell ref="L21:L24"/>
    <mergeCell ref="L28:L31"/>
    <mergeCell ref="L35:L38"/>
    <mergeCell ref="J21:J24"/>
    <mergeCell ref="J28:J31"/>
    <mergeCell ref="J35:J38"/>
  </mergeCells>
  <phoneticPr fontId="5" type="noConversion"/>
  <pageMargins left="1.1496062992125984" right="0.55905511811023623" top="0.79921259842519676" bottom="0.79921259842519676" header="0.5" footer="0.5"/>
  <headerFooter>
    <oddHeader>&amp;LProjektstrukturplan&amp;CBaltic PM&amp;Rc.b. Thomas Sadewasser</oddHeader>
    <oddFooter>&amp;F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36"/>
  <sheetViews>
    <sheetView zoomScale="125" zoomScaleNormal="125" zoomScalePageLayoutView="125" workbookViewId="0">
      <selection activeCell="P19" sqref="P19"/>
    </sheetView>
  </sheetViews>
  <sheetFormatPr baseColWidth="10" defaultRowHeight="13" x14ac:dyDescent="0"/>
  <cols>
    <col min="1" max="1" width="1.42578125" customWidth="1"/>
    <col min="2" max="2" width="3.5703125" customWidth="1"/>
    <col min="3" max="3" width="13.140625" customWidth="1"/>
    <col min="4" max="4" width="16.42578125" customWidth="1"/>
    <col min="5" max="5" width="15.85546875" customWidth="1"/>
    <col min="6" max="7" width="7.140625" customWidth="1"/>
    <col min="8" max="8" width="1.42578125" customWidth="1"/>
    <col min="9" max="9" width="3.7109375" customWidth="1"/>
    <col min="10" max="13" width="7.5703125" customWidth="1"/>
    <col min="14" max="14" width="1.42578125" customWidth="1"/>
    <col min="15" max="15" width="4.140625" customWidth="1"/>
    <col min="16" max="16" width="5.28515625" customWidth="1"/>
    <col min="17" max="17" width="9.7109375" customWidth="1"/>
    <col min="18" max="27" width="3.5703125" customWidth="1"/>
  </cols>
  <sheetData>
    <row r="1" spans="1:25" ht="14" thickBot="1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6"/>
      <c r="O1" s="3"/>
    </row>
    <row r="2" spans="1:25" ht="17" thickBot="1">
      <c r="A2" s="7"/>
      <c r="B2" s="158" t="s">
        <v>15</v>
      </c>
      <c r="C2" s="159"/>
      <c r="D2" s="159"/>
      <c r="E2" s="159"/>
      <c r="F2" s="159"/>
      <c r="G2" s="159"/>
      <c r="H2" s="3"/>
      <c r="I2" s="108" t="s">
        <v>228</v>
      </c>
      <c r="J2" s="109"/>
      <c r="K2" s="155" t="str">
        <f>Projektsteckbrief!D3</f>
        <v>Hausbau X</v>
      </c>
      <c r="L2" s="156"/>
      <c r="M2" s="157"/>
      <c r="N2" s="8"/>
      <c r="O2" s="3"/>
      <c r="Q2" s="1" t="s">
        <v>105</v>
      </c>
    </row>
    <row r="3" spans="1:25" ht="14" thickBot="1">
      <c r="A3" s="7"/>
      <c r="B3" s="159"/>
      <c r="C3" s="159"/>
      <c r="D3" s="159"/>
      <c r="E3" s="159"/>
      <c r="F3" s="159"/>
      <c r="G3" s="159"/>
      <c r="H3" s="3"/>
      <c r="I3" s="3"/>
      <c r="J3" s="3"/>
      <c r="K3" s="3"/>
      <c r="L3" s="3"/>
      <c r="M3" s="3"/>
      <c r="N3" s="8"/>
      <c r="O3" s="3"/>
    </row>
    <row r="4" spans="1:25" ht="14" thickBot="1">
      <c r="A4" s="7"/>
      <c r="B4" s="110" t="s">
        <v>42</v>
      </c>
      <c r="C4" s="110" t="s">
        <v>11</v>
      </c>
      <c r="D4" s="161" t="s">
        <v>12</v>
      </c>
      <c r="E4" s="161"/>
      <c r="F4" s="110" t="s">
        <v>18</v>
      </c>
      <c r="G4" s="110" t="s">
        <v>19</v>
      </c>
      <c r="H4" s="107"/>
      <c r="I4" s="107"/>
      <c r="J4" s="3"/>
      <c r="K4" s="3"/>
      <c r="L4" s="3"/>
      <c r="M4" s="3"/>
      <c r="N4" s="8"/>
      <c r="O4" s="3"/>
      <c r="Q4" s="96" t="s">
        <v>106</v>
      </c>
      <c r="R4" s="96" t="s">
        <v>63</v>
      </c>
      <c r="S4" s="96"/>
      <c r="T4" s="96"/>
      <c r="U4" s="96"/>
      <c r="V4" s="96"/>
      <c r="W4" s="96"/>
      <c r="X4" s="96"/>
      <c r="Y4" s="96"/>
    </row>
    <row r="5" spans="1:25" ht="14" thickBot="1">
      <c r="A5" s="7"/>
      <c r="B5" s="111"/>
      <c r="C5" s="111"/>
      <c r="D5" s="111" t="s">
        <v>13</v>
      </c>
      <c r="E5" s="111" t="s">
        <v>14</v>
      </c>
      <c r="F5" s="112" t="s">
        <v>36</v>
      </c>
      <c r="G5" s="111" t="s">
        <v>21</v>
      </c>
      <c r="H5" s="3"/>
      <c r="I5" s="163" t="s">
        <v>16</v>
      </c>
      <c r="J5" s="164"/>
      <c r="K5" s="164"/>
      <c r="L5" s="164"/>
      <c r="M5" s="165"/>
      <c r="N5" s="8"/>
      <c r="O5" s="3"/>
      <c r="Q5" s="96"/>
      <c r="R5" s="96">
        <v>1</v>
      </c>
      <c r="S5" s="96">
        <v>2</v>
      </c>
      <c r="T5" s="96">
        <v>3</v>
      </c>
      <c r="U5" s="96">
        <v>4</v>
      </c>
      <c r="V5" s="96">
        <v>5</v>
      </c>
      <c r="W5" s="96">
        <v>6</v>
      </c>
      <c r="X5" s="96">
        <v>7</v>
      </c>
      <c r="Y5" s="96">
        <v>8</v>
      </c>
    </row>
    <row r="6" spans="1:25" ht="14" thickBot="1">
      <c r="A6" s="7"/>
      <c r="B6" s="159"/>
      <c r="C6" s="159"/>
      <c r="D6" s="159"/>
      <c r="E6" s="159"/>
      <c r="F6" s="159"/>
      <c r="G6" s="159"/>
      <c r="H6" s="3"/>
      <c r="I6" s="3"/>
      <c r="J6" s="3"/>
      <c r="K6" s="3"/>
      <c r="L6" s="3"/>
      <c r="M6" s="3"/>
      <c r="N6" s="8"/>
      <c r="O6" s="3"/>
      <c r="Q6" s="96"/>
      <c r="R6" s="96"/>
      <c r="S6" s="96"/>
      <c r="T6" s="96"/>
      <c r="U6" s="96"/>
      <c r="V6" s="96"/>
      <c r="W6" s="96"/>
      <c r="X6" s="96"/>
      <c r="Y6" s="96"/>
    </row>
    <row r="7" spans="1:25" s="16" customFormat="1" ht="37" customHeight="1">
      <c r="A7" s="17"/>
      <c r="B7" s="113">
        <v>1</v>
      </c>
      <c r="C7" s="124" t="s">
        <v>22</v>
      </c>
      <c r="D7" s="118" t="s">
        <v>23</v>
      </c>
      <c r="E7" s="118" t="s">
        <v>24</v>
      </c>
      <c r="F7" s="113">
        <v>4</v>
      </c>
      <c r="G7" s="113">
        <v>2</v>
      </c>
      <c r="H7" s="19"/>
      <c r="I7" s="76">
        <v>4</v>
      </c>
      <c r="J7" s="126" t="str">
        <f>Q7</f>
        <v xml:space="preserve">       </v>
      </c>
      <c r="K7" s="125" t="str">
        <f>Q11</f>
        <v xml:space="preserve">1       </v>
      </c>
      <c r="L7" s="80" t="str">
        <f>Q15</f>
        <v xml:space="preserve"> 2      </v>
      </c>
      <c r="M7" s="81" t="str">
        <f>Q19</f>
        <v xml:space="preserve">       </v>
      </c>
      <c r="N7" s="20"/>
      <c r="O7" s="19"/>
      <c r="P7" s="106" t="str">
        <f t="shared" ref="P7:P14" si="0">CONCATENATE(F7,G7)</f>
        <v>42</v>
      </c>
      <c r="Q7" s="97" t="str">
        <f t="shared" ref="Q7:Q22" si="1">CONCATENATE(R7," ",S7," ",T7," ",U7," ",V7," ",W7," ",X7," ",Y7)</f>
        <v xml:space="preserve">       </v>
      </c>
      <c r="R7" s="98" t="str">
        <f>IF($P$7="41",1,"")</f>
        <v/>
      </c>
      <c r="S7" s="98" t="str">
        <f>IF($P$8="41",2,"")</f>
        <v/>
      </c>
      <c r="T7" s="98" t="str">
        <f>IF($P$9="41",3,"")</f>
        <v/>
      </c>
      <c r="U7" s="98" t="str">
        <f>IF($P$10="41",4,"")</f>
        <v/>
      </c>
      <c r="V7" s="98" t="str">
        <f>IF($P$11="41",5,"")</f>
        <v/>
      </c>
      <c r="W7" s="98" t="str">
        <f>IF($P$12="41",6,"")</f>
        <v/>
      </c>
      <c r="X7" s="98" t="str">
        <f>IF($P$13="41",7,"")</f>
        <v/>
      </c>
      <c r="Y7" s="99" t="str">
        <f>IF($P$14="41",8,"")</f>
        <v/>
      </c>
    </row>
    <row r="8" spans="1:25" s="16" customFormat="1" ht="37" customHeight="1">
      <c r="A8" s="17"/>
      <c r="B8" s="113">
        <v>2</v>
      </c>
      <c r="C8" s="124" t="s">
        <v>108</v>
      </c>
      <c r="D8" s="118" t="s">
        <v>109</v>
      </c>
      <c r="E8" s="118" t="s">
        <v>64</v>
      </c>
      <c r="F8" s="113">
        <v>4</v>
      </c>
      <c r="G8" s="113">
        <v>3</v>
      </c>
      <c r="H8" s="19"/>
      <c r="I8" s="77">
        <v>3</v>
      </c>
      <c r="J8" s="127" t="str">
        <f>Q8</f>
        <v xml:space="preserve">       </v>
      </c>
      <c r="K8" s="88" t="str">
        <f t="shared" ref="K8:K10" si="2">Q12</f>
        <v xml:space="preserve">       </v>
      </c>
      <c r="L8" s="88" t="str">
        <f t="shared" ref="L8:L10" si="3">Q16</f>
        <v xml:space="preserve">       </v>
      </c>
      <c r="M8" s="83" t="str">
        <f t="shared" ref="M8:M10" si="4">Q20</f>
        <v xml:space="preserve">       </v>
      </c>
      <c r="N8" s="20"/>
      <c r="O8" s="19"/>
      <c r="P8" s="106" t="str">
        <f t="shared" si="0"/>
        <v>43</v>
      </c>
      <c r="Q8" s="100" t="str">
        <f t="shared" si="1"/>
        <v xml:space="preserve">       </v>
      </c>
      <c r="R8" s="101" t="str">
        <f>IF($P$7="31",1,"")</f>
        <v/>
      </c>
      <c r="S8" s="101" t="str">
        <f>IF($P$8="31",2,"")</f>
        <v/>
      </c>
      <c r="T8" s="101" t="str">
        <f>IF($P$9="31",3,"")</f>
        <v/>
      </c>
      <c r="U8" s="101" t="str">
        <f>IF($P$10="31",4,"")</f>
        <v/>
      </c>
      <c r="V8" s="101" t="str">
        <f>IF($P$11="31",5,"")</f>
        <v/>
      </c>
      <c r="W8" s="101" t="str">
        <f>IF($P$12="31",6,"")</f>
        <v/>
      </c>
      <c r="X8" s="101" t="str">
        <f>IF($P$13="31",7,"")</f>
        <v/>
      </c>
      <c r="Y8" s="102" t="str">
        <f>IF($P$14="31",8,"")</f>
        <v/>
      </c>
    </row>
    <row r="9" spans="1:25" s="16" customFormat="1" ht="37" customHeight="1">
      <c r="A9" s="17"/>
      <c r="B9" s="113">
        <v>3</v>
      </c>
      <c r="C9" s="124" t="s">
        <v>65</v>
      </c>
      <c r="D9" s="118" t="s">
        <v>66</v>
      </c>
      <c r="E9" s="118" t="s">
        <v>67</v>
      </c>
      <c r="F9" s="113">
        <v>2</v>
      </c>
      <c r="G9" s="113">
        <v>2</v>
      </c>
      <c r="H9" s="19"/>
      <c r="I9" s="77">
        <v>2</v>
      </c>
      <c r="J9" s="84" t="str">
        <f t="shared" ref="J9:J10" si="5">Q9</f>
        <v xml:space="preserve">   4    </v>
      </c>
      <c r="K9" s="88" t="str">
        <f t="shared" si="2"/>
        <v xml:space="preserve">  3     </v>
      </c>
      <c r="L9" s="88" t="str">
        <f t="shared" si="3"/>
        <v xml:space="preserve">       </v>
      </c>
      <c r="M9" s="83" t="str">
        <f t="shared" si="4"/>
        <v xml:space="preserve">       </v>
      </c>
      <c r="N9" s="20"/>
      <c r="O9" s="19"/>
      <c r="P9" s="106" t="str">
        <f t="shared" si="0"/>
        <v>22</v>
      </c>
      <c r="Q9" s="100" t="str">
        <f t="shared" si="1"/>
        <v xml:space="preserve">   4    </v>
      </c>
      <c r="R9" s="101" t="str">
        <f>IF($P$7="21",1,"")</f>
        <v/>
      </c>
      <c r="S9" s="101" t="str">
        <f>IF($P$8="21",2,"")</f>
        <v/>
      </c>
      <c r="T9" s="101" t="str">
        <f>IF($P$9="21",3,"")</f>
        <v/>
      </c>
      <c r="U9" s="101">
        <f>IF($P$10="21",4,"")</f>
        <v>4</v>
      </c>
      <c r="V9" s="101" t="str">
        <f>IF($P$11="21",5,"")</f>
        <v/>
      </c>
      <c r="W9" s="101" t="str">
        <f>IF($P$12="21",6,"")</f>
        <v/>
      </c>
      <c r="X9" s="101" t="str">
        <f>IF($P$13="21",7,"")</f>
        <v/>
      </c>
      <c r="Y9" s="102" t="str">
        <f>IF($P$14="21",8,"")</f>
        <v/>
      </c>
    </row>
    <row r="10" spans="1:25" s="16" customFormat="1" ht="37" customHeight="1" thickBot="1">
      <c r="A10" s="17"/>
      <c r="B10" s="113">
        <v>4</v>
      </c>
      <c r="C10" s="124" t="s">
        <v>68</v>
      </c>
      <c r="D10" s="118" t="s">
        <v>69</v>
      </c>
      <c r="E10" s="118" t="s">
        <v>70</v>
      </c>
      <c r="F10" s="113">
        <v>2</v>
      </c>
      <c r="G10" s="113">
        <v>1</v>
      </c>
      <c r="H10" s="19"/>
      <c r="I10" s="77">
        <v>1</v>
      </c>
      <c r="J10" s="86" t="str">
        <f t="shared" si="5"/>
        <v xml:space="preserve">       </v>
      </c>
      <c r="K10" s="87" t="str">
        <f t="shared" si="2"/>
        <v xml:space="preserve">       </v>
      </c>
      <c r="L10" s="90" t="str">
        <f t="shared" si="3"/>
        <v xml:space="preserve">       </v>
      </c>
      <c r="M10" s="91" t="str">
        <f t="shared" si="4"/>
        <v xml:space="preserve">       </v>
      </c>
      <c r="N10" s="20"/>
      <c r="O10" s="19"/>
      <c r="P10" s="106" t="str">
        <f t="shared" si="0"/>
        <v>21</v>
      </c>
      <c r="Q10" s="103" t="str">
        <f t="shared" si="1"/>
        <v xml:space="preserve">       </v>
      </c>
      <c r="R10" s="104" t="str">
        <f>IF($P$7="11",1,"")</f>
        <v/>
      </c>
      <c r="S10" s="104" t="str">
        <f>IF($P$8="11",2,"")</f>
        <v/>
      </c>
      <c r="T10" s="104" t="str">
        <f>IF($P$9="11",3,"")</f>
        <v/>
      </c>
      <c r="U10" s="104" t="str">
        <f>IF($P$10="11",4,"")</f>
        <v/>
      </c>
      <c r="V10" s="104" t="str">
        <f>IF($P$11="11",5,"")</f>
        <v/>
      </c>
      <c r="W10" s="104" t="str">
        <f>IF($P$12="11",6,"")</f>
        <v/>
      </c>
      <c r="X10" s="104" t="str">
        <f>IF($P$13="11",7,"")</f>
        <v/>
      </c>
      <c r="Y10" s="105" t="str">
        <f>IF($P$14="11",8,"")</f>
        <v/>
      </c>
    </row>
    <row r="11" spans="1:25" s="16" customFormat="1" ht="37" customHeight="1" thickBot="1">
      <c r="A11" s="17"/>
      <c r="B11" s="113">
        <v>5</v>
      </c>
      <c r="C11" s="113"/>
      <c r="D11" s="119"/>
      <c r="E11" s="118"/>
      <c r="F11" s="113"/>
      <c r="G11" s="113"/>
      <c r="H11" s="19"/>
      <c r="I11" s="75"/>
      <c r="J11" s="78">
        <v>1</v>
      </c>
      <c r="K11" s="78">
        <v>2</v>
      </c>
      <c r="L11" s="78">
        <v>3</v>
      </c>
      <c r="M11" s="79">
        <v>4</v>
      </c>
      <c r="N11" s="20"/>
      <c r="O11" s="19"/>
      <c r="P11" s="106" t="str">
        <f t="shared" si="0"/>
        <v/>
      </c>
      <c r="Q11" s="97" t="str">
        <f t="shared" si="1"/>
        <v xml:space="preserve">1       </v>
      </c>
      <c r="R11" s="98">
        <f>IF($P$7="42",1,"")</f>
        <v>1</v>
      </c>
      <c r="S11" s="98" t="str">
        <f>IF($P$8="42",2,"")</f>
        <v/>
      </c>
      <c r="T11" s="98" t="str">
        <f>IF($P$9="42",3,"")</f>
        <v/>
      </c>
      <c r="U11" s="98" t="str">
        <f>IF($P$10="42",4,"")</f>
        <v/>
      </c>
      <c r="V11" s="98" t="str">
        <f>IF($P$11="42",5,"")</f>
        <v/>
      </c>
      <c r="W11" s="98" t="str">
        <f>IF($P$12="42",6,"")</f>
        <v/>
      </c>
      <c r="X11" s="98" t="str">
        <f>IF($P$13="42",7,"")</f>
        <v/>
      </c>
      <c r="Y11" s="99" t="str">
        <f>IF($P$14="42",8,"")</f>
        <v/>
      </c>
    </row>
    <row r="12" spans="1:25" ht="37" customHeight="1">
      <c r="A12" s="17"/>
      <c r="B12" s="113">
        <v>6</v>
      </c>
      <c r="C12" s="113"/>
      <c r="D12" s="118"/>
      <c r="E12" s="118"/>
      <c r="F12" s="113"/>
      <c r="G12" s="113"/>
      <c r="H12" s="3"/>
      <c r="I12" s="3"/>
      <c r="J12" s="3"/>
      <c r="K12" s="162" t="s">
        <v>25</v>
      </c>
      <c r="L12" s="162"/>
      <c r="M12" s="3"/>
      <c r="N12" s="8"/>
      <c r="O12" s="3"/>
      <c r="P12" s="106" t="str">
        <f t="shared" si="0"/>
        <v/>
      </c>
      <c r="Q12" s="100" t="str">
        <f t="shared" si="1"/>
        <v xml:space="preserve">       </v>
      </c>
      <c r="R12" s="101" t="str">
        <f>IF($P$7="32",1,"")</f>
        <v/>
      </c>
      <c r="S12" s="101" t="str">
        <f>IF($P$8="32",2,"")</f>
        <v/>
      </c>
      <c r="T12" s="101" t="str">
        <f>IF($P$9="32",3,"")</f>
        <v/>
      </c>
      <c r="U12" s="101" t="str">
        <f>IF($P$10="32",4,"")</f>
        <v/>
      </c>
      <c r="V12" s="101" t="str">
        <f>IF($P$11="32",5,"")</f>
        <v/>
      </c>
      <c r="W12" s="101" t="str">
        <f>IF($P$12="32",6,"")</f>
        <v/>
      </c>
      <c r="X12" s="101" t="str">
        <f>IF($P$13="32",7,"")</f>
        <v/>
      </c>
      <c r="Y12" s="102" t="str">
        <f>IF($P$14="32",8,"")</f>
        <v/>
      </c>
    </row>
    <row r="13" spans="1:25" ht="37" customHeight="1">
      <c r="A13" s="17"/>
      <c r="B13" s="113">
        <v>7</v>
      </c>
      <c r="C13" s="113"/>
      <c r="D13" s="119"/>
      <c r="E13" s="118"/>
      <c r="F13" s="113"/>
      <c r="G13" s="113"/>
      <c r="H13" s="3"/>
      <c r="I13" s="3"/>
      <c r="J13" s="181" t="s">
        <v>17</v>
      </c>
      <c r="K13" s="182"/>
      <c r="L13" s="182"/>
      <c r="M13" s="182"/>
      <c r="N13" s="8"/>
      <c r="O13" s="3"/>
      <c r="P13" s="106" t="str">
        <f t="shared" si="0"/>
        <v/>
      </c>
      <c r="Q13" s="100" t="str">
        <f t="shared" si="1"/>
        <v xml:space="preserve">  3     </v>
      </c>
      <c r="R13" s="101" t="str">
        <f>IF($P$7="22",1,"")</f>
        <v/>
      </c>
      <c r="S13" s="101" t="str">
        <f>IF($P$8="22",2,"")</f>
        <v/>
      </c>
      <c r="T13" s="101">
        <f>IF($P$9="22",3,"")</f>
        <v>3</v>
      </c>
      <c r="U13" s="101" t="str">
        <f>IF($P$10="22",4,"")</f>
        <v/>
      </c>
      <c r="V13" s="101" t="str">
        <f>IF($P$11="22",5,"")</f>
        <v/>
      </c>
      <c r="W13" s="101" t="str">
        <f>IF($P$12="22",6,"")</f>
        <v/>
      </c>
      <c r="X13" s="101" t="str">
        <f>IF($P$13="22",7,"")</f>
        <v/>
      </c>
      <c r="Y13" s="102" t="str">
        <f>IF($P$14="22",8,"")</f>
        <v/>
      </c>
    </row>
    <row r="14" spans="1:25" ht="37" customHeight="1">
      <c r="A14" s="17"/>
      <c r="B14" s="113"/>
      <c r="C14" s="113"/>
      <c r="D14" s="115"/>
      <c r="E14" s="114"/>
      <c r="F14" s="74"/>
      <c r="G14" s="74"/>
      <c r="H14" s="3"/>
      <c r="I14" s="3"/>
      <c r="J14" s="3"/>
      <c r="K14" s="3"/>
      <c r="L14" s="3"/>
      <c r="M14" s="3"/>
      <c r="N14" s="8"/>
      <c r="O14" s="3"/>
      <c r="P14" s="106" t="str">
        <f t="shared" si="0"/>
        <v/>
      </c>
      <c r="Q14" s="103" t="str">
        <f t="shared" si="1"/>
        <v xml:space="preserve">       </v>
      </c>
      <c r="R14" s="104" t="str">
        <f>IF($P$7="12",1,"")</f>
        <v/>
      </c>
      <c r="S14" s="104" t="str">
        <f>IF($P$8="12",2,"")</f>
        <v/>
      </c>
      <c r="T14" s="104" t="str">
        <f>IF($P$9="12",3,"")</f>
        <v/>
      </c>
      <c r="U14" s="104" t="str">
        <f>IF($P$10="12",4,"")</f>
        <v/>
      </c>
      <c r="V14" s="104" t="str">
        <f>IF($P$11="12",5,"")</f>
        <v/>
      </c>
      <c r="W14" s="104" t="str">
        <f>IF($P$12="12",6,"")</f>
        <v/>
      </c>
      <c r="X14" s="104" t="str">
        <f>IF($P$13="12",7,"")</f>
        <v/>
      </c>
      <c r="Y14" s="105" t="str">
        <f>IF($P$14="12",8,"")</f>
        <v/>
      </c>
    </row>
    <row r="15" spans="1:25">
      <c r="A15" s="7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8"/>
      <c r="O15" s="3"/>
      <c r="Q15" s="97" t="str">
        <f t="shared" si="1"/>
        <v xml:space="preserve"> 2      </v>
      </c>
      <c r="R15" s="98" t="str">
        <f>IF($P$7="43",1,"")</f>
        <v/>
      </c>
      <c r="S15" s="98">
        <f>IF($P$8="43",2,"")</f>
        <v>2</v>
      </c>
      <c r="T15" s="98" t="str">
        <f>IF($P$9="43",3,"")</f>
        <v/>
      </c>
      <c r="U15" s="98" t="str">
        <f>IF($P$10="43",4,"")</f>
        <v/>
      </c>
      <c r="V15" s="98" t="str">
        <f>IF($P$11="43",5,"")</f>
        <v/>
      </c>
      <c r="W15" s="98" t="str">
        <f>IF($P$12="43",6,"")</f>
        <v/>
      </c>
      <c r="X15" s="98" t="str">
        <f>IF($P$13="43",7,"")</f>
        <v/>
      </c>
      <c r="Y15" s="99" t="str">
        <f>IF($P$14="43",8,"")</f>
        <v/>
      </c>
    </row>
    <row r="16" spans="1:25">
      <c r="A16" s="7"/>
      <c r="B16" s="110" t="s">
        <v>229</v>
      </c>
      <c r="C16" s="160" t="s">
        <v>225</v>
      </c>
      <c r="D16" s="159"/>
      <c r="E16" s="160" t="s">
        <v>71</v>
      </c>
      <c r="F16" s="159"/>
      <c r="G16" s="159"/>
      <c r="H16" s="159"/>
      <c r="I16" s="159"/>
      <c r="J16" s="160" t="s">
        <v>227</v>
      </c>
      <c r="K16" s="159"/>
      <c r="L16" s="159"/>
      <c r="M16" s="159"/>
      <c r="N16" s="8"/>
      <c r="O16" s="3"/>
      <c r="Q16" s="100" t="str">
        <f t="shared" si="1"/>
        <v xml:space="preserve">       </v>
      </c>
      <c r="R16" s="101" t="str">
        <f>IF($P$7="33",1,"")</f>
        <v/>
      </c>
      <c r="S16" s="101" t="str">
        <f>IF($P$8="33",2,"")</f>
        <v/>
      </c>
      <c r="T16" s="101" t="str">
        <f>IF($P$9="33",3,"")</f>
        <v/>
      </c>
      <c r="U16" s="101" t="str">
        <f>IF($P$10="33",4,"")</f>
        <v/>
      </c>
      <c r="V16" s="101" t="str">
        <f>IF($P$11="33",5,"")</f>
        <v/>
      </c>
      <c r="W16" s="101" t="str">
        <f>IF($P$12="33",6,"")</f>
        <v/>
      </c>
      <c r="X16" s="101" t="str">
        <f>IF($P$13="33",7,"")</f>
        <v/>
      </c>
      <c r="Y16" s="102" t="str">
        <f>IF($P$14="33",8,"")</f>
        <v/>
      </c>
    </row>
    <row r="17" spans="1:25">
      <c r="A17" s="7"/>
      <c r="B17" s="113">
        <v>1</v>
      </c>
      <c r="C17" s="166" t="s">
        <v>73</v>
      </c>
      <c r="D17" s="166"/>
      <c r="E17" s="166" t="s">
        <v>1</v>
      </c>
      <c r="F17" s="166"/>
      <c r="G17" s="166"/>
      <c r="H17" s="166"/>
      <c r="I17" s="166"/>
      <c r="J17" s="166" t="s">
        <v>74</v>
      </c>
      <c r="K17" s="166"/>
      <c r="L17" s="166"/>
      <c r="M17" s="120" t="s">
        <v>72</v>
      </c>
      <c r="N17" s="8"/>
      <c r="O17" s="3"/>
      <c r="Q17" s="100" t="str">
        <f t="shared" si="1"/>
        <v xml:space="preserve">       </v>
      </c>
      <c r="R17" s="101" t="str">
        <f>IF($P$7="23",1,"")</f>
        <v/>
      </c>
      <c r="S17" s="101" t="str">
        <f>IF($P$8="23",2,"")</f>
        <v/>
      </c>
      <c r="T17" s="101" t="str">
        <f>IF($P$9="23",3,"")</f>
        <v/>
      </c>
      <c r="U17" s="101" t="str">
        <f>IF($P$10="23",4,"")</f>
        <v/>
      </c>
      <c r="V17" s="101" t="str">
        <f>IF($P$11="23",5,"")</f>
        <v/>
      </c>
      <c r="W17" s="101" t="str">
        <f>IF($P$12="23",6,"")</f>
        <v/>
      </c>
      <c r="X17" s="101" t="str">
        <f>IF($P$13="23",7,"")</f>
        <v/>
      </c>
      <c r="Y17" s="102" t="str">
        <f>IF($P$14="23",8,"")</f>
        <v/>
      </c>
    </row>
    <row r="18" spans="1:25">
      <c r="A18" s="7"/>
      <c r="B18" s="113">
        <v>2</v>
      </c>
      <c r="C18" s="166" t="s">
        <v>0</v>
      </c>
      <c r="D18" s="166"/>
      <c r="E18" s="167" t="s">
        <v>2</v>
      </c>
      <c r="F18" s="168"/>
      <c r="G18" s="168"/>
      <c r="H18" s="168"/>
      <c r="I18" s="169"/>
      <c r="J18" s="166" t="s">
        <v>3</v>
      </c>
      <c r="K18" s="166"/>
      <c r="L18" s="166"/>
      <c r="M18" s="120" t="s">
        <v>72</v>
      </c>
      <c r="N18" s="8"/>
      <c r="O18" s="3"/>
      <c r="Q18" s="103" t="str">
        <f t="shared" si="1"/>
        <v xml:space="preserve">       </v>
      </c>
      <c r="R18" s="104" t="str">
        <f>IF($P$7="13",1,"")</f>
        <v/>
      </c>
      <c r="S18" s="104" t="str">
        <f>IF($P$8="13",2,"")</f>
        <v/>
      </c>
      <c r="T18" s="104" t="str">
        <f>IF($P$9="13",3,"")</f>
        <v/>
      </c>
      <c r="U18" s="104" t="str">
        <f>IF($P$10="13",4,"")</f>
        <v/>
      </c>
      <c r="V18" s="104" t="str">
        <f>IF($P$11="13",5,"")</f>
        <v/>
      </c>
      <c r="W18" s="104" t="str">
        <f>IF($P$12="13",6,"")</f>
        <v/>
      </c>
      <c r="X18" s="104" t="str">
        <f>IF($P$13="13",7,"")</f>
        <v/>
      </c>
      <c r="Y18" s="105" t="str">
        <f>IF($P$14="13",8,"")</f>
        <v/>
      </c>
    </row>
    <row r="19" spans="1:25">
      <c r="A19" s="7"/>
      <c r="B19" s="113">
        <v>3</v>
      </c>
      <c r="C19" s="166" t="s">
        <v>4</v>
      </c>
      <c r="D19" s="166"/>
      <c r="E19" s="166" t="s">
        <v>5</v>
      </c>
      <c r="F19" s="166"/>
      <c r="G19" s="166"/>
      <c r="H19" s="166"/>
      <c r="I19" s="166"/>
      <c r="J19" s="166" t="s">
        <v>3</v>
      </c>
      <c r="K19" s="166"/>
      <c r="L19" s="166"/>
      <c r="M19" s="120" t="s">
        <v>72</v>
      </c>
      <c r="N19" s="8"/>
      <c r="O19" s="3"/>
      <c r="Q19" s="97" t="str">
        <f t="shared" si="1"/>
        <v xml:space="preserve">       </v>
      </c>
      <c r="R19" s="98" t="str">
        <f>IF($P$7="44",1,"")</f>
        <v/>
      </c>
      <c r="S19" s="98" t="str">
        <f>IF($P$8="44",2,"")</f>
        <v/>
      </c>
      <c r="T19" s="98" t="str">
        <f>IF($P$9="44",3,"")</f>
        <v/>
      </c>
      <c r="U19" s="98" t="str">
        <f>IF($P$10="44",4,"")</f>
        <v/>
      </c>
      <c r="V19" s="98" t="str">
        <f>IF($P$11="44",5,"")</f>
        <v/>
      </c>
      <c r="W19" s="98" t="str">
        <f>IF($P$12="44",6,"")</f>
        <v/>
      </c>
      <c r="X19" s="98" t="str">
        <f>IF($P$13="44",7,"")</f>
        <v/>
      </c>
      <c r="Y19" s="99" t="str">
        <f>IF($P$14="44",8,"")</f>
        <v/>
      </c>
    </row>
    <row r="20" spans="1:25">
      <c r="A20" s="7"/>
      <c r="B20" s="3"/>
      <c r="C20" s="123" t="s">
        <v>26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8"/>
      <c r="O20" s="3"/>
      <c r="Q20" s="100" t="str">
        <f t="shared" si="1"/>
        <v xml:space="preserve">       </v>
      </c>
      <c r="R20" s="101" t="str">
        <f>IF($P$7="34",1,"")</f>
        <v/>
      </c>
      <c r="S20" s="101" t="str">
        <f>IF($P$8="34",2,"")</f>
        <v/>
      </c>
      <c r="T20" s="101" t="str">
        <f>IF($P$9="34",3,"")</f>
        <v/>
      </c>
      <c r="U20" s="101" t="str">
        <f>IF($P$10="34",4,"")</f>
        <v/>
      </c>
      <c r="V20" s="101" t="str">
        <f>IF($P$11="34",5,"")</f>
        <v/>
      </c>
      <c r="W20" s="101" t="str">
        <f>IF($P$12="34",6,"")</f>
        <v/>
      </c>
      <c r="X20" s="101" t="str">
        <f>IF($P$13="34",7,"")</f>
        <v/>
      </c>
      <c r="Y20" s="102" t="str">
        <f>IF($P$14="34",8,"")</f>
        <v/>
      </c>
    </row>
    <row r="21" spans="1:25" ht="14" thickBot="1">
      <c r="A21" s="9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O21" s="3"/>
      <c r="Q21" s="100" t="str">
        <f t="shared" si="1"/>
        <v xml:space="preserve">       </v>
      </c>
      <c r="R21" s="101" t="str">
        <f>IF($P$7="24",1,"")</f>
        <v/>
      </c>
      <c r="S21" s="101" t="str">
        <f>IF($P$8="24",2,"")</f>
        <v/>
      </c>
      <c r="T21" s="101" t="str">
        <f>IF($P$9="24",3,"")</f>
        <v/>
      </c>
      <c r="U21" s="101" t="str">
        <f>IF($P$10="24",4,"")</f>
        <v/>
      </c>
      <c r="V21" s="101" t="str">
        <f>IF($P$11="24",5,"")</f>
        <v/>
      </c>
      <c r="W21" s="101" t="str">
        <f>IF($P$12="24",6,"")</f>
        <v/>
      </c>
      <c r="X21" s="101" t="str">
        <f>IF($P$13="24",7,"")</f>
        <v/>
      </c>
      <c r="Y21" s="102" t="str">
        <f>IF($P$14="24",8,"")</f>
        <v/>
      </c>
    </row>
    <row r="22" spans="1:25">
      <c r="Q22" s="103" t="str">
        <f t="shared" si="1"/>
        <v xml:space="preserve">       </v>
      </c>
      <c r="R22" s="104" t="str">
        <f>IF($P$7="14",1,"")</f>
        <v/>
      </c>
      <c r="S22" s="104" t="str">
        <f>IF($P$8="14",2,"")</f>
        <v/>
      </c>
      <c r="T22" s="104" t="str">
        <f>IF($P$9="14",3,"")</f>
        <v/>
      </c>
      <c r="U22" s="104" t="str">
        <f>IF($P$10="14",4,"")</f>
        <v/>
      </c>
      <c r="V22" s="104" t="str">
        <f>IF($P$11="14",5,"")</f>
        <v/>
      </c>
      <c r="W22" s="104" t="str">
        <f>IF($P$12="14",6,"")</f>
        <v/>
      </c>
      <c r="X22" s="104" t="str">
        <f>IF($P$13="14",7,"")</f>
        <v/>
      </c>
      <c r="Y22" s="105" t="str">
        <f>IF($P$14="14",8,"")</f>
        <v/>
      </c>
    </row>
    <row r="25" spans="1:25">
      <c r="C25" s="60" t="s">
        <v>87</v>
      </c>
      <c r="D25" s="61"/>
      <c r="E25" s="61"/>
      <c r="F25" s="61"/>
      <c r="G25" s="61"/>
      <c r="H25" s="61"/>
      <c r="I25" s="61"/>
      <c r="J25" s="61"/>
      <c r="K25" s="62"/>
    </row>
    <row r="26" spans="1:25">
      <c r="C26" s="63"/>
      <c r="D26" s="35"/>
      <c r="E26" s="35"/>
      <c r="F26" s="35"/>
      <c r="G26" s="35"/>
      <c r="H26" s="35"/>
      <c r="I26" s="35"/>
      <c r="J26" s="35"/>
      <c r="K26" s="64"/>
    </row>
    <row r="27" spans="1:25">
      <c r="C27" s="63" t="s">
        <v>6</v>
      </c>
      <c r="D27" s="35"/>
      <c r="E27" s="35"/>
      <c r="F27" s="35"/>
      <c r="G27" s="35"/>
      <c r="H27" s="35"/>
      <c r="I27" s="35"/>
      <c r="J27" s="35"/>
      <c r="K27" s="64"/>
    </row>
    <row r="28" spans="1:25">
      <c r="C28" s="63" t="s">
        <v>7</v>
      </c>
      <c r="D28" s="35"/>
      <c r="E28" s="35"/>
      <c r="F28" s="35"/>
      <c r="G28" s="35"/>
      <c r="H28" s="35"/>
      <c r="I28" s="35"/>
      <c r="J28" s="35"/>
      <c r="K28" s="64"/>
    </row>
    <row r="29" spans="1:25">
      <c r="C29" s="63" t="s">
        <v>59</v>
      </c>
      <c r="D29" s="35"/>
      <c r="E29" s="35"/>
      <c r="F29" s="35"/>
      <c r="G29" s="35"/>
      <c r="H29" s="35"/>
      <c r="I29" s="35"/>
      <c r="J29" s="35"/>
      <c r="K29" s="64"/>
    </row>
    <row r="30" spans="1:25">
      <c r="C30" s="63" t="s">
        <v>8</v>
      </c>
      <c r="D30" s="35"/>
      <c r="E30" s="35"/>
      <c r="F30" s="35"/>
      <c r="G30" s="35"/>
      <c r="H30" s="35"/>
      <c r="I30" s="35"/>
      <c r="J30" s="35"/>
      <c r="K30" s="64"/>
    </row>
    <row r="31" spans="1:25">
      <c r="C31" s="63" t="s">
        <v>9</v>
      </c>
      <c r="D31" s="35"/>
      <c r="E31" s="35"/>
      <c r="F31" s="35"/>
      <c r="G31" s="35"/>
      <c r="H31" s="35"/>
      <c r="I31" s="35"/>
      <c r="J31" s="35"/>
      <c r="K31" s="64"/>
    </row>
    <row r="32" spans="1:25">
      <c r="C32" s="65" t="s">
        <v>60</v>
      </c>
      <c r="D32" s="66"/>
      <c r="E32" s="66"/>
      <c r="F32" s="66"/>
      <c r="G32" s="66"/>
      <c r="H32" s="66"/>
      <c r="I32" s="66"/>
      <c r="J32" s="66"/>
      <c r="K32" s="67"/>
    </row>
    <row r="34" spans="3:3">
      <c r="C34" s="117" t="s">
        <v>134</v>
      </c>
    </row>
    <row r="35" spans="3:3">
      <c r="C35" s="116" t="s">
        <v>61</v>
      </c>
    </row>
    <row r="36" spans="3:3">
      <c r="C36" t="s">
        <v>62</v>
      </c>
    </row>
  </sheetData>
  <mergeCells count="20">
    <mergeCell ref="C18:D18"/>
    <mergeCell ref="E18:I18"/>
    <mergeCell ref="J18:L18"/>
    <mergeCell ref="C19:D19"/>
    <mergeCell ref="E19:I19"/>
    <mergeCell ref="J19:L19"/>
    <mergeCell ref="K12:L12"/>
    <mergeCell ref="C16:D16"/>
    <mergeCell ref="E16:I16"/>
    <mergeCell ref="J16:M16"/>
    <mergeCell ref="C17:D17"/>
    <mergeCell ref="E17:I17"/>
    <mergeCell ref="J17:L17"/>
    <mergeCell ref="J13:M13"/>
    <mergeCell ref="B6:G6"/>
    <mergeCell ref="B2:G2"/>
    <mergeCell ref="K2:M2"/>
    <mergeCell ref="B3:G3"/>
    <mergeCell ref="D4:E4"/>
    <mergeCell ref="I5:M5"/>
  </mergeCells>
  <phoneticPr fontId="5" type="noConversion"/>
  <pageMargins left="0.75196850393700787" right="0.75196850393700787" top="1" bottom="1" header="0.5" footer="0.5"/>
  <headerFooter>
    <oddHeader>&amp;LRisikoanalyse qualitativ&amp;CBaltic PM&amp;Rc.b. Thomas Sadewasser</oddHeader>
    <oddFooter>&amp;F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Hinweise</vt:lpstr>
      <vt:lpstr>Projektsteckbrief</vt:lpstr>
      <vt:lpstr>Team</vt:lpstr>
      <vt:lpstr>Zielplan</vt:lpstr>
      <vt:lpstr>Stakeholderanalyse</vt:lpstr>
      <vt:lpstr>PSP</vt:lpstr>
      <vt:lpstr>Risikoanalyse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Projektplanung</dc:title>
  <dc:subject/>
  <dc:creator>Thomas Sadewasser</dc:creator>
  <cp:keywords/>
  <dc:description>Weitergabe nur mit Erlaubnis und Namensnennung </dc:description>
  <cp:lastModifiedBy>TS</cp:lastModifiedBy>
  <cp:lastPrinted>2013-08-04T13:48:07Z</cp:lastPrinted>
  <dcterms:created xsi:type="dcterms:W3CDTF">2013-08-04T07:10:29Z</dcterms:created>
  <dcterms:modified xsi:type="dcterms:W3CDTF">2015-11-03T09:40:51Z</dcterms:modified>
  <cp:category/>
</cp:coreProperties>
</file>